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5138\AppData\Local\Temp\183\"/>
    </mc:Choice>
  </mc:AlternateContent>
  <bookViews>
    <workbookView xWindow="0" yWindow="0" windowWidth="28800" windowHeight="12300" activeTab="5"/>
  </bookViews>
  <sheets>
    <sheet name="Свод " sheetId="10" r:id="rId1"/>
    <sheet name="Предпроект " sheetId="7" r:id="rId2"/>
    <sheet name="Инженерно-геодезические" sheetId="11" r:id="rId3"/>
    <sheet name="Геология" sheetId="13" r:id="rId4"/>
    <sheet name="Проект " sheetId="9" r:id="rId5"/>
    <sheet name="Экология" sheetId="14" r:id="rId6"/>
  </sheets>
  <definedNames>
    <definedName name="_xlnm.Print_Titles" localSheetId="3">Геология!$9:$9</definedName>
    <definedName name="_xlnm.Print_Titles" localSheetId="2">'Инженерно-геодезические'!$8:$8</definedName>
    <definedName name="_xlnm.Print_Area" localSheetId="3">Геология!$A$1:$N$34</definedName>
    <definedName name="_xlnm.Print_Area" localSheetId="2">'Инженерно-геодезические'!$A$1:$N$26</definedName>
    <definedName name="_xlnm.Print_Area" localSheetId="1">'Предпроект '!$A$1:$F$27</definedName>
    <definedName name="_xlnm.Print_Area" localSheetId="4">'Проект '!$B$1:$F$40</definedName>
    <definedName name="_xlnm.Print_Area" localSheetId="0">'Свод '!$A$1:$H$25</definedName>
  </definedNames>
  <calcPr calcId="152511"/>
</workbook>
</file>

<file path=xl/calcChain.xml><?xml version="1.0" encoding="utf-8"?>
<calcChain xmlns="http://schemas.openxmlformats.org/spreadsheetml/2006/main">
  <c r="G16" i="10" l="1"/>
  <c r="H16" i="10" s="1"/>
  <c r="A3" i="14"/>
  <c r="F15" i="10"/>
  <c r="F14" i="10"/>
  <c r="F13" i="10"/>
  <c r="F12" i="10"/>
  <c r="G12" i="10" s="1"/>
  <c r="F11" i="10"/>
  <c r="H98" i="14"/>
  <c r="H97" i="14"/>
  <c r="H95" i="14"/>
  <c r="H94" i="14"/>
  <c r="H93" i="14"/>
  <c r="H92" i="14"/>
  <c r="H91" i="14"/>
  <c r="H88" i="14"/>
  <c r="H64" i="14"/>
  <c r="H63" i="14"/>
  <c r="H62" i="14"/>
  <c r="H61" i="14"/>
  <c r="H60" i="14"/>
  <c r="H59" i="14"/>
  <c r="H58" i="14"/>
  <c r="H57" i="14"/>
  <c r="H56" i="14"/>
  <c r="H65" i="14" s="1"/>
  <c r="H55" i="14"/>
  <c r="H54" i="14"/>
  <c r="H51" i="14"/>
  <c r="H50" i="14"/>
  <c r="H49" i="14"/>
  <c r="H48" i="14"/>
  <c r="H47" i="14"/>
  <c r="H46" i="14"/>
  <c r="H45" i="14"/>
  <c r="H44" i="14"/>
  <c r="H43" i="14"/>
  <c r="H52" i="14" s="1"/>
  <c r="H32" i="14"/>
  <c r="H31" i="14"/>
  <c r="H29" i="14"/>
  <c r="H27" i="14"/>
  <c r="H26" i="14"/>
  <c r="H24" i="14"/>
  <c r="H22" i="14"/>
  <c r="H20" i="14"/>
  <c r="H19" i="14"/>
  <c r="H18" i="14"/>
  <c r="H35" i="14" s="1"/>
  <c r="H17" i="14"/>
  <c r="H15" i="14"/>
  <c r="F33" i="14" s="1"/>
  <c r="H33" i="14" s="1"/>
  <c r="H10" i="14"/>
  <c r="H13" i="14" s="1"/>
  <c r="G10" i="14"/>
  <c r="G13" i="10" l="1"/>
  <c r="H13" i="10" s="1"/>
  <c r="H12" i="10"/>
  <c r="G11" i="10"/>
  <c r="G15" i="10"/>
  <c r="H15" i="10" s="1"/>
  <c r="G14" i="10"/>
  <c r="H14" i="10" s="1"/>
  <c r="G37" i="14"/>
  <c r="H37" i="14" s="1"/>
  <c r="H40" i="14" s="1"/>
  <c r="G38" i="14"/>
  <c r="H38" i="14" s="1"/>
  <c r="G36" i="14"/>
  <c r="H36" i="14" s="1"/>
  <c r="H89" i="14"/>
  <c r="G99" i="14" s="1"/>
  <c r="H99" i="14" s="1"/>
  <c r="G100" i="14"/>
  <c r="H100" i="14" s="1"/>
  <c r="H101" i="14" s="1"/>
  <c r="H102" i="14" s="1"/>
  <c r="G103" i="14" s="1"/>
  <c r="H103" i="14" s="1"/>
  <c r="H104" i="14" s="1"/>
  <c r="H11" i="10" l="1"/>
  <c r="H105" i="14"/>
  <c r="H106" i="14" s="1"/>
  <c r="F17" i="10" l="1"/>
  <c r="F26" i="9"/>
  <c r="F24" i="9"/>
  <c r="F22" i="9"/>
  <c r="F20" i="9"/>
  <c r="F18" i="9"/>
  <c r="F19" i="7"/>
  <c r="F18" i="10" l="1"/>
  <c r="G17" i="10"/>
  <c r="N25" i="13"/>
  <c r="N20" i="13"/>
  <c r="N19" i="13"/>
  <c r="N18" i="13"/>
  <c r="N17" i="13"/>
  <c r="N16" i="13"/>
  <c r="N15" i="13"/>
  <c r="N14" i="13" s="1"/>
  <c r="N10" i="13"/>
  <c r="N21" i="13" s="1"/>
  <c r="N23" i="13" s="1"/>
  <c r="N13" i="13"/>
  <c r="N12" i="13"/>
  <c r="N11" i="13"/>
  <c r="N18" i="11"/>
  <c r="N19" i="11" s="1"/>
  <c r="N16" i="11"/>
  <c r="N11" i="11"/>
  <c r="N14" i="11" s="1"/>
  <c r="N13" i="11"/>
  <c r="N10" i="11"/>
  <c r="H17" i="10" l="1"/>
  <c r="G18" i="10"/>
  <c r="N20" i="11"/>
  <c r="N21" i="11" s="1"/>
  <c r="N26" i="13"/>
  <c r="H18" i="10" l="1"/>
  <c r="N27" i="13"/>
  <c r="N28" i="13" s="1"/>
  <c r="F15" i="9"/>
  <c r="F29" i="9" l="1"/>
  <c r="F27" i="9"/>
  <c r="F12" i="9"/>
  <c r="F16" i="7"/>
  <c r="F15" i="7"/>
  <c r="F14" i="7"/>
  <c r="F13" i="7"/>
  <c r="F10" i="7" l="1"/>
  <c r="F17" i="7" s="1"/>
  <c r="F20" i="7" s="1"/>
  <c r="F16" i="9"/>
  <c r="F13" i="9" l="1"/>
  <c r="F10" i="9" l="1"/>
  <c r="F30" i="9" s="1"/>
  <c r="F32" i="9" s="1"/>
  <c r="F33" i="9" s="1"/>
  <c r="F21" i="7" l="1"/>
  <c r="F22" i="7" s="1"/>
  <c r="F34" i="9"/>
  <c r="F35" i="9" s="1"/>
</calcChain>
</file>

<file path=xl/comments1.xml><?xml version="1.0" encoding="utf-8"?>
<comments xmlns="http://schemas.openxmlformats.org/spreadsheetml/2006/main">
  <authors>
    <author>Сергей</author>
    <author>Alex Sosedko</author>
    <author>Alex</author>
  </authors>
  <commentList>
    <comment ref="A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8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8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8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14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22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C25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27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comments2.xml><?xml version="1.0" encoding="utf-8"?>
<comments xmlns="http://schemas.openxmlformats.org/spreadsheetml/2006/main">
  <authors>
    <author>Сергей</author>
    <author>Alex Sosedko</author>
    <author>Alex</author>
  </authors>
  <commentList>
    <comment ref="A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(текстовая часть) расценки&gt;</t>
        </r>
      </text>
    </comment>
    <comment ref="C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&lt;Комментарии из базы данных к расценке&gt;
Примечание: &lt;Примечание&gt;</t>
        </r>
      </text>
    </comment>
    <comment ref="D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=IF(INDIRECT("H"&amp;ROW())="",INDIRECT("E"&amp;ROW()),"(" &amp; INDIRECT("H"&amp;ROW())&amp;")")&amp;IF(INDIRECT("F"&amp;ROW())="0", " * 0", IF(INDIRECT("F"&amp;ROW())="", IF(INDIRECT("I"&amp;ROW())=""," "," * "&amp;INDIRECT("I"&amp;ROW())), " * "&amp;INDIRECT("F"&amp;ROW())))&amp;IF(INDIRECT("G"&amp;ROW())="", " ", " * "&amp;INDIRECT("G"&amp;ROW()))&lt;Пустой идентификатор&gt;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=IF(&lt;Пустой идентификатор&gt;&lt;Количество всего (физ. объем) по позиции&gt; = "","0",&lt;Количество всего (физ. объем) по позиции&gt;)</t>
        </r>
      </text>
    </comment>
    <comment ref="F9" authorId="0" shapeId="0">
      <text>
        <r>
          <rPr>
            <sz val="8"/>
            <color indexed="81"/>
            <rFont val="Tahoma"/>
            <family val="2"/>
            <charset val="204"/>
          </rPr>
          <t xml:space="preserve"> =IF(INDIRECT("J" &amp; ROW())="текущие цены", IF(INDIRECT("G" &amp; ROW())="", "&lt;ПЗ по позиции на единицу в текущих ценах с учетом всех к-тов&gt;", "&lt;ПЗ по позиции на единицу в текущих ценах&gt;"), IF(INDIRECT("G" &amp; ROW())="", "&lt;ПЗ по позиции на единицу в базисных ценах с учетом всех к-тов&gt;","&lt;ПЗ по позиции на единицу в базисных ценах&gt;")) 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&lt;К-т к позиции на прямые затраты&gt;</t>
        </r>
      </text>
    </comment>
    <comment ref="H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физ. объема&gt;</t>
        </r>
      </text>
    </comment>
    <comment ref="I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&lt;Формула расчета стоимости единицы&gt;</t>
        </r>
      </text>
    </comment>
    <comment ref="J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&lt;Уровень цен позиции&gt;</t>
        </r>
      </text>
    </comment>
    <comment ref="K9" authorId="1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коэффициентов&gt;</t>
        </r>
      </text>
    </comment>
    <comment ref="L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раздела&gt;</t>
        </r>
      </text>
    </comment>
    <comment ref="M9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&lt;Ед. измерения по расценке&gt;</t>
        </r>
      </text>
    </comment>
    <comment ref="N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=IF(INDIRECT("J" &amp; ROW())="текущие цены", &lt;ИТОГО ПЗ по позиции в текущих ценах&gt;/1000, &lt;ИТОГО ПЗ по позиции для БИМ&gt;/1000) 
</t>
        </r>
      </text>
    </comment>
    <comment ref="A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N21" authorId="0" shapeId="0">
      <text>
        <r>
          <rPr>
            <sz val="8"/>
            <color indexed="81"/>
            <rFont val="Tahoma"/>
            <family val="2"/>
            <charset val="204"/>
          </rPr>
          <t xml:space="preserve"> =&lt;Прямые затраты (итоги)&gt;/1000</t>
        </r>
      </text>
    </comment>
    <comment ref="C30" authorId="0" shapeId="0">
      <text>
        <r>
          <rPr>
            <sz val="8"/>
            <color indexed="81"/>
            <rFont val="Tahoma"/>
            <family val="2"/>
            <charset val="204"/>
          </rPr>
          <t xml:space="preserve"> &lt;подпись 360 значение&gt;</t>
        </r>
      </text>
    </comment>
    <comment ref="C3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&lt;Составил&gt;</t>
        </r>
      </text>
    </comment>
    <comment ref="A35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&lt;Комментарии к смете&gt;</t>
        </r>
      </text>
    </comment>
  </commentList>
</comments>
</file>

<file path=xl/sharedStrings.xml><?xml version="1.0" encoding="utf-8"?>
<sst xmlns="http://schemas.openxmlformats.org/spreadsheetml/2006/main" count="498" uniqueCount="346">
  <si>
    <t>№ п/п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</si>
  <si>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</si>
  <si>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</si>
  <si>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</si>
  <si>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</si>
  <si>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</si>
  <si>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Смета №2</t>
  </si>
  <si>
    <t>1</t>
  </si>
  <si>
    <t>Стоимость предпроектных работ</t>
  </si>
  <si>
    <t>2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</si>
  <si>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</si>
  <si>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</si>
  <si>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</si>
  <si>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1.1.</t>
  </si>
  <si>
    <t xml:space="preserve">Стоимость общих предпроектных работ в ценах 01.01.1991г. </t>
  </si>
  <si>
    <t>2.1.</t>
  </si>
  <si>
    <t>ВСЕГО</t>
  </si>
  <si>
    <t>НДС 20%</t>
  </si>
  <si>
    <t>3</t>
  </si>
  <si>
    <t>Общая стоимость. руб. без НДС 20%</t>
  </si>
  <si>
    <t xml:space="preserve">Сумма
НДС 20 %
</t>
  </si>
  <si>
    <t>Общая стоимость. руб. с НДС</t>
  </si>
  <si>
    <t>Составил: ______________________Чижова А.Н.</t>
  </si>
  <si>
    <t xml:space="preserve">Итого по смете без НДС </t>
  </si>
  <si>
    <t>Итого</t>
  </si>
  <si>
    <t>Сводная таблица стоимости работ на ПИР</t>
  </si>
  <si>
    <t>РЗА</t>
  </si>
  <si>
    <t>Связь</t>
  </si>
  <si>
    <t xml:space="preserve">СБЦП "Объекты энергетики, 2003" </t>
  </si>
  <si>
    <t>"Справочник базовых цен на проектные работы для строительства". СБЦП (номер таблицы)</t>
  </si>
  <si>
    <t>Наименование зданий,сооружений, видов  проектных работ (уровень цен)</t>
  </si>
  <si>
    <t xml:space="preserve">табл.4 п.7 (К=16+57+10+8=0,91) с учетом табл.29 </t>
  </si>
  <si>
    <t>Релейная защита подстанций 110 кВ . (по состоянию на 01.01.2001)</t>
  </si>
  <si>
    <t>Кабельная линия связи. (по состоянию на 01.01.2001)</t>
  </si>
  <si>
    <t>Система оперативного постоянного тока. (по состоянию на 01.01.2001)</t>
  </si>
  <si>
    <t>Релейная защита и линейная автоматика сети 110 кВ. (по состоянию на 01.01.2001)</t>
  </si>
  <si>
    <t>Расчеты токов короткого замыкания в сети напряжением 110 кВ. (по состоянию на 01.01.2001)</t>
  </si>
  <si>
    <t>Противоаварийная автоматика (по состоянию на 01.01.2001)</t>
  </si>
  <si>
    <t>3.1.</t>
  </si>
  <si>
    <t>3.2.</t>
  </si>
  <si>
    <t>3.3.</t>
  </si>
  <si>
    <t>3.4.</t>
  </si>
  <si>
    <t>3.5.</t>
  </si>
  <si>
    <t>Стоимость реконструкции ПС 110 кВ (по состоянию на 01.01.2001)</t>
  </si>
  <si>
    <t xml:space="preserve">СБЦП 81-2001-02 Объекты связи </t>
  </si>
  <si>
    <t xml:space="preserve">Итого стоимость разработки рабочей документации  в ценах 01.01.2001г. </t>
  </si>
  <si>
    <t xml:space="preserve">Ценник на предпроектные работы электросетевого хозяйства  1991г </t>
  </si>
  <si>
    <t>Стоимость1991 = Ст-тьид1 + Ст-тьид2 + Ст-тьид3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</si>
  <si>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подстанции табл.7, п.1</t>
    </r>
  </si>
  <si>
    <t>604*1,5</t>
  </si>
  <si>
    <t>952*1,5</t>
  </si>
  <si>
    <t>608*1,5</t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</si>
  <si>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Сбор исходных данных о фактических условиях размещения площадок ПС и сопоставление их с условиями, предусмотренными проектом табл.7, п.2, К-т -1,5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</si>
  <si>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ид3</t>
    </r>
    <r>
      <rPr>
        <sz val="10"/>
        <rFont val="Arial"/>
        <family val="2"/>
        <charset val="204"/>
      </rPr>
      <t xml:space="preserve"> -  Натуральное обследование состояния отдельных зданий и сооружений ПС и сопоставление их состояния с требованиями проекта табр.7, п.3 К-т -1,5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</si>
  <si>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ид4</t>
    </r>
    <r>
      <rPr>
        <sz val="10"/>
        <rFont val="Arial"/>
        <family val="2"/>
        <charset val="204"/>
      </rPr>
      <t xml:space="preserve"> - Составление отчета по выполненным работам, реконструкции комиссии (рабочей группе) по объектам реконструкции или техническому перевооружению табл.7 п.4 К-т -1,5 Общ указ п.6</t>
    </r>
  </si>
  <si>
    <t>177*1,5</t>
  </si>
  <si>
    <t>Предпроектные работы</t>
  </si>
  <si>
    <t>Итого стоимость разработки рабочей документации  в ценах 01.01.1991г.</t>
  </si>
  <si>
    <t>Оборудование высокочастотной обработки линии (по состоянию на 01.01.2001)</t>
  </si>
  <si>
    <t>4</t>
  </si>
  <si>
    <t>4.1.</t>
  </si>
  <si>
    <t>табл.15. п.14 Бц=2,76+0,58тр. К=1 удельная стоимость проектирования; Стадия Проект+Рабочая К=1</t>
  </si>
  <si>
    <t>Итого стоимость работ по пункту, руб.</t>
  </si>
  <si>
    <t>2,29тр*0,91</t>
  </si>
  <si>
    <t>(2,76+0,58)тр*1*1*1,5</t>
  </si>
  <si>
    <t>ВЧ</t>
  </si>
  <si>
    <t>Номер ИП: L_009-11-1-03.13-2555</t>
  </si>
  <si>
    <t>табл.8  БцПР = 1160 тр; Табл Б9.1 (Кудельной стоимости=0,44 с учетом табл.29; К=0,35(общ указ. П. 1.8.4) Стадия Проект+Рабочая К=1</t>
  </si>
  <si>
    <t>1160тр*0,44*0,35*1</t>
  </si>
  <si>
    <t>№ пп</t>
  </si>
  <si>
    <t>Характеристика предприятия,
здания, сооружения или вид работ</t>
  </si>
  <si>
    <t>Номер частей, глав, таблиц,
параграфов и пунктов указаний к
разделу справочника базовых цен
на проектные и изыскательские
работы для строителей</t>
  </si>
  <si>
    <t>Расчет стоимости: (a+bx)*Kj или
(стоимость
строительно-монтажных
работ)*проц./ 100 или количество * цена, руб.</t>
  </si>
  <si>
    <t>Раздел 1. Инженерно-геодезические изыскания для ПС</t>
  </si>
  <si>
    <t>Создание инженерно-топографического плана, масштаб съемки 1:500, высота сечения рельефа 0,5 м: 2 категории сложности - полевые работы
(га)</t>
  </si>
  <si>
    <t>2 * 4632 * 1,1125*1,28*1,0875*1,005*1,06</t>
  </si>
  <si>
    <t>4632</t>
  </si>
  <si>
    <t>1,1125*1,28*1,0875*1,005*1,06</t>
  </si>
  <si>
    <t>цены 2001</t>
  </si>
  <si>
    <t>Расходы по внутреннему транспорту при расстоянии от базы изыск. организации. партии. отряда до участка изысканий св. 5 до 10 км. при сметной стоимости полевых изыскателских работ до 5 тыс. руб. - 9%. с учетом Постановления Госстроя №22 от 01.03.1990г -9%*1.25=11.25% К=11.25%;
УБЦ2 табл.5 п.5.Расходы по внешнему транспорту при расстоянии проезда в одном направлении 1000-2000 км. при экспедиционных условиях продолжит. до 3 мес. К=28%;
УБЦ2 табл.4 п.1.Расходы по внутреннему транспорту при расстоянии от базы до участка работ до 5 км. при сметной ст-ти полевых изыск. работ до 75 тыс. руб. К=8.75%;
СБЦ-2004-80-7.Регистрация инженерно-геодезических изысканий К=1.005;
УБЦ2 п.13 ОУ.Расходы на организацию и ликвидацию инженерно-геодезических работ К=1.06;</t>
  </si>
  <si>
    <t>га</t>
  </si>
  <si>
    <t>Создание инженерно-топографического плана на территории действующих промышленных предприятий, масштаб съемки 1:500, высота сечения рельефа 0,5 м: 2 категории сложности - камеральные работы
(га)</t>
  </si>
  <si>
    <t>2 * 1938 * 1,28*1,0875*1,005*1,06</t>
  </si>
  <si>
    <t>1938</t>
  </si>
  <si>
    <t>1,28*1,0875*1,005*1,06</t>
  </si>
  <si>
    <t>УБЦ2 табл.5 п.5.Расходы по внешнему транспорту при расстоянии проезда в одном направлении 1000-2000 км. при экспедиционных условиях продолжит. до 3 мес. К=28%;
УБЦ2 табл.4 п.1.Расходы по внутреннему транспорту при расстоянии от базы до участка работ до 5 км. при сметной ст-ти полевых изыск. работ до 75 тыс. руб. К=8.75%;
СБЦ-2004-80-7.Регистрация инженерно-геодезических изысканий К=1.005;
УБЦ2 п.13 ОУ.Расходы на организацию и ликвидацию инженерно-геодезических работ К=1.06;</t>
  </si>
  <si>
    <t>Раздел 2. Регистрация</t>
  </si>
  <si>
    <t>Работы по регистрации (оформлению разрешений) инженерных изысканий для строительства и приемке материалов выполненных топографо-геодезических работ. Сметная стоимость изысканий в ценах на 01.01.01 г. до 25 тыс.руб. - цена = 4%
(регистрация)</t>
  </si>
  <si>
    <t>1 * 841.23 * 1,0875*1,308*1,005*1,06</t>
  </si>
  <si>
    <t>841.23</t>
  </si>
  <si>
    <t>1,0875*1,308*1,005*1,06</t>
  </si>
  <si>
    <t>УБЦ2 табл.4 п.1.Расходы по внутреннему транспорту при расстоянии от базы до участка работ до 5 км. при сметной ст-ти полевых изыск. работ до 75 тыс. руб. К=8.75%;
УБЦ2 табл.5 п.4.Расходы по внешнему транспорту при расстоянии проезда в одном направлении 500-1000 км. при экспедиционных условиях продолжит. до 1 мес. К=30.8%;
СБЦ-2004-80-7.Регистрация инженерно-геодезических изысканий К=1.005;
УБЦ2 п.13 ОУ.Расходы на организацию и ликвидацию инженерно-геодезических работ К=1.06;</t>
  </si>
  <si>
    <t>регистрация</t>
  </si>
  <si>
    <t>Итого затраты по разделам (1-2)</t>
  </si>
  <si>
    <t>Итоги по смете:</t>
  </si>
  <si>
    <t xml:space="preserve">  ВСЕГО по смете</t>
  </si>
  <si>
    <r>
      <t xml:space="preserve">УБЦ  табл.9 п.5-3-1
</t>
    </r>
    <r>
      <rPr>
        <i/>
        <sz val="9"/>
        <rFont val="Times New Roman"/>
        <family val="1"/>
        <charset val="204"/>
      </rPr>
      <t>"Инж.-геодез. изыск.(2004 г.)"
Расходы по внутреннему транспорту при расстоянии от базы изыск. организации. партии. отряда до участка изысканий св. 5 до 10 км. при сметной стоимости полевых изыскателских работ до 5 тыс. руб. - 9%. с учетом Постановления Госстроя №22 от 01.03.1990г -9%*1.25=11.25% К=11.25%;
УБЦ2 табл.5 п.5.Расходы по внешнему транспорту при расстоянии проезда в одном направлении 1000-2000 км. при экспедиционных условиях продолжит. до 3 мес. К=28%;
УБЦ2 табл.4 п.1.Расходы по внутреннему транспорту при расстоянии от базы до участка работ до 5 км. при сметной ст-ти полевых изыск. работ до 75 тыс. руб. К=8.75%;
СБЦ-2004-80-7.Регистрация инженерно-геодезических изысканий К=1.005;
УБЦ2 п.13 ОУ.Расходы на организацию и ликвидацию инженерно-геодезических работ К=1.06</t>
    </r>
  </si>
  <si>
    <r>
      <t xml:space="preserve">УБЦ  табл.9 п.5-3-2
</t>
    </r>
    <r>
      <rPr>
        <i/>
        <sz val="9"/>
        <rFont val="Times New Roman"/>
        <family val="1"/>
        <charset val="204"/>
      </rPr>
      <t>"Инж.-геодез. изыск.(2004 г.)"
УБЦ2 табл.5 п.5.Расходы по внешнему транспорту при расстоянии проезда в одном направлении 1000-2000 км. при экспедиционных условиях продолжит. до 3 мес. К=28%;
УБЦ2 табл.4 п.1.Расходы по внутреннему транспорту при расстоянии от базы до участка работ до 5 км. при сметной ст-ти полевых изыск. работ до 75 тыс. руб. К=8.75%;
СБЦ-2004-80-7.Регистрация инженерно-геодезических изысканий К=1.005;
УБЦ2 п.13 ОУ.Расходы на организацию и ликвидацию инженерно-геодезических работ К=1.06</t>
    </r>
  </si>
  <si>
    <r>
      <t xml:space="preserve">УБЦ  табл.80 п.1
</t>
    </r>
    <r>
      <rPr>
        <i/>
        <sz val="9"/>
        <rFont val="Times New Roman"/>
        <family val="1"/>
        <charset val="204"/>
      </rPr>
      <t>"Инж.-геодез. изыск.(2004 г.)"
УБЦ2 табл.4 п.1.Расходы по внутреннему транспорту при расстоянии от базы до участка работ до 5 км. при сметной ст-ти полевых изыск. работ до 75 тыс. руб. К=8.75%;
УБЦ2 табл.5 п.4.Расходы по внешнему транспорту при расстоянии проезда в одном направлении 500-1000 км. при экспедиционных условиях продолжит. до 1 мес. К=30.8%;
СБЦ-2004-80-7.Регистрация инженерно-геодезических изысканий К=1.005;
УБЦ2 п.13 ОУ.Расходы на организацию и ликвидацию инженерно-геодезических работ К=1.06</t>
    </r>
  </si>
  <si>
    <t>Стоимость работ, руб.</t>
  </si>
  <si>
    <t xml:space="preserve">  Инженерно-геодезические изыскания</t>
  </si>
  <si>
    <t>Реконструкция ПС в части монтажа трансформаторов тока 110 кВ, трансформаторов напряжения 110 кВ и ОПУ</t>
  </si>
  <si>
    <t xml:space="preserve">СМЕТА №1 Инженерно-геодезические изыскания </t>
  </si>
  <si>
    <t xml:space="preserve">  Инженерно-геологические и инженерно-экологические изыскания (1999)</t>
  </si>
  <si>
    <t>80</t>
  </si>
  <si>
    <t xml:space="preserve">1 * 80 </t>
  </si>
  <si>
    <t>Регистрация (оформление разрешений) инженерных изысканий для строительства сметной стоимостью в ценах 01.01.91г. до 2 тыс.руб.
(регистрация)</t>
  </si>
  <si>
    <t>1 отчет</t>
  </si>
  <si>
    <t>55.87</t>
  </si>
  <si>
    <t xml:space="preserve">1 * 55.87 </t>
  </si>
  <si>
    <t>Составление технического отчета (заключения) о результатах выполненных работ (в % от стоимости камеральных работ), стоимость камеральных работ до 5 тыс. руб.: категория сложности инженерно-геологических условий 1 - 18%
(1 отчет)</t>
  </si>
  <si>
    <t>135.4</t>
  </si>
  <si>
    <t xml:space="preserve">1 * 135.4 </t>
  </si>
  <si>
    <t>Камеральная обработка комплексных исследований и отдельных определений физико-механических свойств грунтов (пород), цена, %, от стоимости лабораторных работ: глинистых - 20%</t>
  </si>
  <si>
    <t>1м выработки</t>
  </si>
  <si>
    <t>7</t>
  </si>
  <si>
    <t xml:space="preserve">25 * 7 </t>
  </si>
  <si>
    <t>Камеральная обработка материалов буровых и горнопроходческих работ: категория сложности инженерно-геологических условий 1
(1м выработки)</t>
  </si>
  <si>
    <t>1 проба</t>
  </si>
  <si>
    <t>67.3</t>
  </si>
  <si>
    <t xml:space="preserve">5 * 67.3 </t>
  </si>
  <si>
    <t>Стандартный (типовой) анализ воды
(1 проба)</t>
  </si>
  <si>
    <t>1 образец</t>
  </si>
  <si>
    <t>68.1</t>
  </si>
  <si>
    <t xml:space="preserve">5 * 68.1 </t>
  </si>
  <si>
    <t>Комплекс определений оптимальной влажности и максимальной плотности глинистого грунта
(1 образец)</t>
  </si>
  <si>
    <t>Раздел 2. Лабораторные и камеральные  работы</t>
  </si>
  <si>
    <t>СБЦИ3 табл.5 п.4.Расходы по внешнему транспорту при расстоянии проезда в одном направлении 500-1000 км. при экспедиционных условиях продолжит. до 1 мес. К=30.8%;
СБЦИ3 табл.4 п.1.Расходы по внутреннему транспорту при расстоянии от базы до участка работ до 5 км. при сметной ст-ти полевых изыск. работ до 5 тыс. руб. К=8.75%;</t>
  </si>
  <si>
    <t>1,308*1,0875</t>
  </si>
  <si>
    <t>7.6</t>
  </si>
  <si>
    <t>5 * 7.6 * 1,308*1,0875</t>
  </si>
  <si>
    <t>Отбор точечных проб для анализа  воды
(1 проба)</t>
  </si>
  <si>
    <t>1 монолит</t>
  </si>
  <si>
    <t>22.9</t>
  </si>
  <si>
    <t>5 * 22.9 * 1,308*1,0875</t>
  </si>
  <si>
    <t>Отбор монолитов из буровых скважин (связные грунты) с глубины до 10м
(1 монолит)</t>
  </si>
  <si>
    <t>м</t>
  </si>
  <si>
    <t>5.1</t>
  </si>
  <si>
    <t>25 * 5.1 * 1,308*1,0875</t>
  </si>
  <si>
    <t>Ручное бурение скважины диаметром до 60мм: категория породы 2
(м)</t>
  </si>
  <si>
    <t>Раздел 1. Полевые работы</t>
  </si>
  <si>
    <t>СМЕТА № 2</t>
  </si>
  <si>
    <r>
      <t xml:space="preserve">СБЦИ  табл.13 п.1-2
</t>
    </r>
    <r>
      <rPr>
        <i/>
        <sz val="9"/>
        <rFont val="Times New Roman"/>
        <family val="1"/>
        <charset val="204"/>
      </rPr>
      <t>"Инж.-геологические и инж.-экологич. изыскания (1999 г.)"
СБЦИ3 табл.5 п.4.Расходы по внешнему транспорту при расстоянии проезда в одном направлении 500-1000 км. при экспедиционных условиях продолжит. до 1 мес. К=30.8%;
СБЦИ3 табл.4 п.1.Расходы по внутреннему транспорту при расстоянии от базы до участка работ до 5 км. при сметной ст-ти полевых изыск. работ до 5 тыс. руб. К=8.75%</t>
    </r>
  </si>
  <si>
    <r>
      <t xml:space="preserve">СБЦИ  табл.57 п.1-1
</t>
    </r>
    <r>
      <rPr>
        <i/>
        <sz val="9"/>
        <rFont val="Times New Roman"/>
        <family val="1"/>
        <charset val="204"/>
      </rPr>
      <t>"Инж.-геологические и инж.-экологич. изыскания (1999 г.)"
СБЦИ3 табл.5 п.4.Расходы по внешнему транспорту при расстоянии проезда в одном направлении 500-1000 км. при экспедиционных условиях продолжит. до 1 мес. К=30.8%;
СБЦИ3 табл.4 п.1.Расходы по внутреннему транспорту при расстоянии от базы до участка работ до 5 км. при сметной ст-ти полевых изыск. работ до 5 тыс. руб. К=8.75%</t>
    </r>
  </si>
  <si>
    <r>
      <t xml:space="preserve">СБЦИ  табл.60 п.2
</t>
    </r>
    <r>
      <rPr>
        <i/>
        <sz val="9"/>
        <rFont val="Times New Roman"/>
        <family val="1"/>
        <charset val="204"/>
      </rPr>
      <t>"Инж.-геологические и инж.-экологич. изыскания (1999 г.)"
СБЦИ3 табл.5 п.4.Расходы по внешнему транспорту при расстоянии проезда в одном направлении 500-1000 км. при экспедиционных условиях продолжит. до 1 мес. К=30.8%;
СБЦИ3 табл.4 п.1.Расходы по внутреннему транспорту при расстоянии от базы до участка работ до 5 км. при сметной ст-ти полевых изыск. работ до 5 тыс. руб. К=8.75%</t>
    </r>
  </si>
  <si>
    <r>
      <t xml:space="preserve">СБЦИ  табл.63 п.10
</t>
    </r>
    <r>
      <rPr>
        <i/>
        <sz val="9"/>
        <rFont val="Times New Roman"/>
        <family val="1"/>
        <charset val="204"/>
      </rPr>
      <t>"Инж.-геологические и инж.-экологич. изыскания (1999 г.)"</t>
    </r>
  </si>
  <si>
    <r>
      <t xml:space="preserve">СБЦИ  табл.73 п.2
</t>
    </r>
    <r>
      <rPr>
        <i/>
        <sz val="9"/>
        <rFont val="Times New Roman"/>
        <family val="1"/>
        <charset val="204"/>
      </rPr>
      <t>"Инж.-геологические и инж.-экологич. изыскания (1999 г.)"</t>
    </r>
  </si>
  <si>
    <r>
      <t xml:space="preserve">СБЦИ  табл.82 п.1-1
</t>
    </r>
    <r>
      <rPr>
        <i/>
        <sz val="9"/>
        <rFont val="Times New Roman"/>
        <family val="1"/>
        <charset val="204"/>
      </rPr>
      <t>"Инж.-геологические и инж.-экологич. изыскания (1999 г.)"</t>
    </r>
  </si>
  <si>
    <r>
      <t xml:space="preserve">СБЦИ  табл.86 п.1
</t>
    </r>
    <r>
      <rPr>
        <i/>
        <sz val="9"/>
        <rFont val="Times New Roman"/>
        <family val="1"/>
        <charset val="204"/>
      </rPr>
      <t>"Инж.-геологические и инж.-экологич. изыскания (1999 г.)"</t>
    </r>
  </si>
  <si>
    <r>
      <t xml:space="preserve">СБЦИ  табл.87 п.1-1
</t>
    </r>
    <r>
      <rPr>
        <i/>
        <sz val="9"/>
        <rFont val="Times New Roman"/>
        <family val="1"/>
        <charset val="204"/>
      </rPr>
      <t>"Инж.-геологические и инж.-экологич. изыскания (1999 г.)"</t>
    </r>
  </si>
  <si>
    <r>
      <t xml:space="preserve">СБЦИ  табл.98 п.1
</t>
    </r>
    <r>
      <rPr>
        <i/>
        <sz val="9"/>
        <rFont val="Times New Roman"/>
        <family val="1"/>
        <charset val="204"/>
      </rPr>
      <t>"Инж.-геологические и инж.-экологич. изыскания (1999 г.)"</t>
    </r>
  </si>
  <si>
    <t xml:space="preserve">СМЕТА №2 Инженерно-геологические изыскания </t>
  </si>
  <si>
    <t xml:space="preserve">СМЕТА №3 Предпроектные работы </t>
  </si>
  <si>
    <t xml:space="preserve">СМЕТА №4 Проектные работы </t>
  </si>
  <si>
    <t>Смета №3</t>
  </si>
  <si>
    <t>Смета №4</t>
  </si>
  <si>
    <t>450тр*0,3*1,8*1*0,5</t>
  </si>
  <si>
    <t>табл.18. п.2 Бц=450тр. К=0,3 удельная стоимость проектирования; К=1,8 (прим к таб.18). К=0,5 (общ указ. П. 1.8.4) Стадия Проект+Рабочая К=1</t>
  </si>
  <si>
    <t>192,6тр*0,85*1*0,5</t>
  </si>
  <si>
    <t>табл.19. п.2 Бц=192,6т.р. К=0,85 удельная стоимость проектирования(прим.2); К=0,5 (общ указ. П. 1.8.4) Стадия Проект+Рабочая К=1</t>
  </si>
  <si>
    <t>25,9тр*1*0,5</t>
  </si>
  <si>
    <t>табл.20. п.15 Бц=25,9т.р; К=0,5 (общ указ. П. 1.8.4) Стадия Проект+Рабочая К=1</t>
  </si>
  <si>
    <t>55тр*1*0,5</t>
  </si>
  <si>
    <t>табл.21. п.11 Бц=55т.р.;  К=0,5 (общ указ. П. 1.8.4) Стадия Проект+Рабочая К=1</t>
  </si>
  <si>
    <t>(18,08+2,78)тр*0,5*1</t>
  </si>
  <si>
    <t>табл.22. п.1 БцПР=18,08т.р.БцРД=2,78;  К=0,5 (общ указ. П. 1.8.4) Стадия Проект+Рабочая К=1</t>
  </si>
  <si>
    <t>В ценах 2 квартала 2021 года, с учетом прогнозного уровня цен на 2022 год</t>
  </si>
  <si>
    <t>В ценах 2 квартала 2021 года</t>
  </si>
  <si>
    <t>Индекс изменения сметной стоимости в текущие цены 2 кв. 2021 г письмо Минстроя РФ № 18410-ИФ/09 от 04.05.2021;</t>
  </si>
  <si>
    <t>Итого стоимость разработки рабочей документации  в ценах 2 кв. 2021 г</t>
  </si>
  <si>
    <t xml:space="preserve"> Индекс изменения сметной стоимости в текущие цены 2 кв. 2021 г письмо Минстроя РФ № 18410-ИФ/09 от 04.05.2021</t>
  </si>
  <si>
    <t xml:space="preserve"> Индекс изменения сметной стоимости в текущие цены 2 кв. 2021 г пписьмо Минстроя РФ № 18410-ИФ/09 от 04.05.2021;</t>
  </si>
  <si>
    <t>К1 - индекс изменения стоимости проектных работ на 2 квартал 2021 г. к ценам 1991г. (письмо Минстроя РФ № 18410-ИФ/09 от 04.05.2021)</t>
  </si>
  <si>
    <t>6</t>
  </si>
  <si>
    <t>Индекс по письму МР2/80-01-01/8051 от 27.10.2020</t>
  </si>
  <si>
    <t>В ценах 2 квартала 2021 года.</t>
  </si>
  <si>
    <t>№</t>
  </si>
  <si>
    <t>Виды работ</t>
  </si>
  <si>
    <t>Ед. изм.</t>
  </si>
  <si>
    <t>Номера таблиц,§ и пунктов СБЦ-99</t>
  </si>
  <si>
    <t>Коэф.</t>
  </si>
  <si>
    <t xml:space="preserve">Цена, руб. </t>
  </si>
  <si>
    <t>Объём</t>
  </si>
  <si>
    <t>Стоимость, руб.</t>
  </si>
  <si>
    <t>п/п</t>
  </si>
  <si>
    <t>ПРЕДПОЛЕВЫЕ КАМЕРАЛЬНЫЕ РАБОТЫ</t>
  </si>
  <si>
    <t>Составление программы производства работ, средняя глубина исследования до 5 м, исследуемая площадь св. 1 до 3 км2</t>
  </si>
  <si>
    <t>1 программа</t>
  </si>
  <si>
    <t>т.81 §4</t>
  </si>
  <si>
    <t>К = 1,25 - прим. 2 т. 81</t>
  </si>
  <si>
    <t>ИТОГО по предполевым камеральным работам:</t>
  </si>
  <si>
    <t>ПОЛЕВЫЕ РАБОТЫ</t>
  </si>
  <si>
    <t>Инженерно-экологическая рекогносцировка при удовлетворительной проходимости, II категория сложности</t>
  </si>
  <si>
    <t>1 км</t>
  </si>
  <si>
    <t>т.9 §1</t>
  </si>
  <si>
    <t>К=1,1 прим.1 т.9</t>
  </si>
  <si>
    <t>Наблюдения при передвижении по маршруту при составлении инженерно­экологической карты в масштабе 1:2000-1:1000, удовлетворительная проходимость</t>
  </si>
  <si>
    <t>т.10 §4</t>
  </si>
  <si>
    <t>Наблюдения при передвижении по маршруту при составлении почвенной карты в масштабе 1:2000-1:1000, удовлетворительная  проходимость</t>
  </si>
  <si>
    <t>Описание точек наблюдений при составлении инженерно-экологических карт, I категория сложности</t>
  </si>
  <si>
    <t>1 точка</t>
  </si>
  <si>
    <t>т.11 §2</t>
  </si>
  <si>
    <t>Описание точек наблюдений при составлении почвенных карт, II категория сложности</t>
  </si>
  <si>
    <t>К=0,4 прим. 1 т.11</t>
  </si>
  <si>
    <t>Отбор объединенных проб почво­грунтов для анализа на загрязненность по химическим показателям</t>
  </si>
  <si>
    <t>т.60 §7</t>
  </si>
  <si>
    <t>К=0,9 прим. 1 т.60</t>
  </si>
  <si>
    <t>Отбор точечных проб грунтовых вод для анализа на загрязненность по химическим показателям, без использования плавсредств</t>
  </si>
  <si>
    <t>т.60 §2</t>
  </si>
  <si>
    <t>К=0,5 прим.3 т.60</t>
  </si>
  <si>
    <t>Отбор проб почво-грунтов с одной пробной площадки для бактериологического анализа</t>
  </si>
  <si>
    <t>т.60 §10</t>
  </si>
  <si>
    <t>Отбор проб почво-грунтов с одной пробной площадки для паразитологического анализа</t>
  </si>
  <si>
    <t>К=0,9 прим.4 т.60</t>
  </si>
  <si>
    <t>Отбор точечных проб почво-грунтов методом конверта для анализа на радиоактивное загрязнение</t>
  </si>
  <si>
    <t>К=1,2 прим.2 т.60</t>
  </si>
  <si>
    <t>Измерение потока радона на участке</t>
  </si>
  <si>
    <t>20 точек</t>
  </si>
  <si>
    <t>т.91 §1</t>
  </si>
  <si>
    <t>Радиационное обследование участка площадью свыше 1,0 га</t>
  </si>
  <si>
    <t>0,1 га</t>
  </si>
  <si>
    <t>т.92 §2</t>
  </si>
  <si>
    <t>Выполнение полевых изыскательских работ в неблагоприятный период года</t>
  </si>
  <si>
    <t>т.2 §2</t>
  </si>
  <si>
    <t>К=1,3 ОУ. п.8г</t>
  </si>
  <si>
    <t>ВСЕГО:</t>
  </si>
  <si>
    <t>Расходы по внутреннему транспорту, расстояние от базы изыскательской экспедиции до участка работ от 10 до 15 км, сметная стоимость полевых работ свыше 50 тыс. руб. (8,75% от стоимости полевых работ)</t>
  </si>
  <si>
    <t>руб.</t>
  </si>
  <si>
    <t>т.4 §1</t>
  </si>
  <si>
    <t>Расходы по внешнему транспорту в обоих направлениях, расстояние проезда и перевозки в одном направлении свыше 25 км до 100 км, продолжительность полевых работ до 1 мес. (14% от стоимости полевых работ)</t>
  </si>
  <si>
    <t>т.5 §1</t>
  </si>
  <si>
    <t>Расходы по организации и ликвидации работ на объекте (6% от стоимости полевых работ)</t>
  </si>
  <si>
    <r>
      <t>ру</t>
    </r>
    <r>
      <rPr>
        <vertAlign val="superscript"/>
        <sz val="11"/>
        <color rgb="FF000000"/>
        <rFont val="Times New Roman"/>
        <family val="1"/>
        <charset val="204"/>
      </rPr>
      <t>б</t>
    </r>
    <r>
      <rPr>
        <sz val="11"/>
        <color rgb="FF000000"/>
        <rFont val="Times New Roman"/>
        <family val="1"/>
        <charset val="204"/>
      </rPr>
      <t>.</t>
    </r>
  </si>
  <si>
    <t>О.У. п.13</t>
  </si>
  <si>
    <t>ИТОГО по полевым работам:</t>
  </si>
  <si>
    <t>ЛАБОРАТОРНЫЕ РАБОТЫ</t>
  </si>
  <si>
    <t>Анализ почво-грунтов на химическое и радиоактивное загрязнение</t>
  </si>
  <si>
    <t>Водородный показатель рН водной вытяжки электриметрическим методом</t>
  </si>
  <si>
    <t>т.70 §14</t>
  </si>
  <si>
    <t>Определение валового содержания солей тяжелых металлов методом атомной абсорбции (Cu, Zn, Pb, Cd, Ni, Co, As)</t>
  </si>
  <si>
    <t>т.70 §57</t>
  </si>
  <si>
    <t>Определение валового содержания солей тяжелых металлов с использованием ртутно-гидридной приставки (Hg)</t>
  </si>
  <si>
    <t>т.70 §59</t>
  </si>
  <si>
    <t>Определение нефтяных углеводородов хроматографическим методом</t>
  </si>
  <si>
    <t>т.70 §63</t>
  </si>
  <si>
    <t>Определение полициклических ароматических углеводородов хроматографическим методом (3,4 - бенз(а)пирен)</t>
  </si>
  <si>
    <t>т.70 §66</t>
  </si>
  <si>
    <t>Пробоподготовка для выполнения физико-химических исследований солей тяжелых металлов (Cu, Zn, Pb, Cd, Ni, Co)</t>
  </si>
  <si>
    <t>т.70 §85</t>
  </si>
  <si>
    <t>Пробоподготовка для выполнения физико-химических исследований солей тяжелых металлов (Hg)</t>
  </si>
  <si>
    <t>Пробоподготовка для выполнения физико-химических исследований солей тяжелых металлов (As)</t>
  </si>
  <si>
    <t>Спектрометрия лабораторно с пробоподготовкой</t>
  </si>
  <si>
    <t>т.91 §4</t>
  </si>
  <si>
    <t>Анализ почво-грунтов на агрохимические показатели</t>
  </si>
  <si>
    <t>Гранулометрический анализ фракций меньше 0,1 мм методом ареометра</t>
  </si>
  <si>
    <t>т.64 §12</t>
  </si>
  <si>
    <t>Общий (валовой) азот по Къелдалю</t>
  </si>
  <si>
    <t>т.70 §32</t>
  </si>
  <si>
    <t>Обменный натрий по Гедройцу</t>
  </si>
  <si>
    <t>т.70 §15</t>
  </si>
  <si>
    <t>Гумус по Тюрину</t>
  </si>
  <si>
    <t>т.70 §22</t>
  </si>
  <si>
    <t>Калий подвижный по Масловой- Чернышевой</t>
  </si>
  <si>
    <t>т.70 §29</t>
  </si>
  <si>
    <t>Емкость поглощения по методу Антипова-Каратаева и Мамаевой</t>
  </si>
  <si>
    <t>т.70 §43</t>
  </si>
  <si>
    <t>Отбор корешков для определения гумуса и азота</t>
  </si>
  <si>
    <t>т.70 §72</t>
  </si>
  <si>
    <t>Фосфор подвижный по Труогу-Мейеру</t>
  </si>
  <si>
    <t>т.70 §79</t>
  </si>
  <si>
    <t>Приготовление водной вытяжки</t>
  </si>
  <si>
    <t>т.70 §83</t>
  </si>
  <si>
    <t>Анализ водной вытяжки</t>
  </si>
  <si>
    <t>т.71 §1</t>
  </si>
  <si>
    <t>Анализ подземных вод на химическое загрязнение</t>
  </si>
  <si>
    <t>Определение аммоний-ионов колориметрическим методом</t>
  </si>
  <si>
    <t>т.72 §2</t>
  </si>
  <si>
    <t>Определение гидрокарбонат-ионов объемным методом</t>
  </si>
  <si>
    <t>т.72 §7</t>
  </si>
  <si>
    <t>Определение растворенной формы общего железа колориметрическим методом</t>
  </si>
  <si>
    <t>т.72 §8</t>
  </si>
  <si>
    <t>Определение растворенной формы кадмия колориметрическим методом</t>
  </si>
  <si>
    <t>т.72 §15</t>
  </si>
  <si>
    <t>Определение растворенной формы кобальта колориметрическим методом с предварительным концентрированием</t>
  </si>
  <si>
    <t>т.72 §23</t>
  </si>
  <si>
    <t>Определение концентрации водородных ионов - рН электриметрическим методом</t>
  </si>
  <si>
    <t>т.72 §25</t>
  </si>
  <si>
    <t>Определение магния колориметрическим методом</t>
  </si>
  <si>
    <t>т.72 §29</t>
  </si>
  <si>
    <t>Определение растворенной формы марганца пламенным атомно­абсорбционным методом</t>
  </si>
  <si>
    <t>т.72 §31</t>
  </si>
  <si>
    <t>Определение растворенной формы меди пламенным атомно­абсорбционным методом</t>
  </si>
  <si>
    <t>т.72 §32</t>
  </si>
  <si>
    <t>Определение растворенной формы мышьяка колориметрическим методом</t>
  </si>
  <si>
    <t>т.72 §35</t>
  </si>
  <si>
    <t>Определение калия расчетным методом</t>
  </si>
  <si>
    <t>т.72 §37</t>
  </si>
  <si>
    <t>Определение нефтепродуктов методом тонкослойной хроматографии с УФ спектральным окончанием</t>
  </si>
  <si>
    <t>т.72 §38</t>
  </si>
  <si>
    <t>Определение растворенной формы никеля пламенным атомно­абсорбционным методом</t>
  </si>
  <si>
    <t>т.72 §40</t>
  </si>
  <si>
    <t>Определение нитратов колориметрическим методом</t>
  </si>
  <si>
    <t>т.72 §41</t>
  </si>
  <si>
    <t>Определение нитритов колориметрическим методом</t>
  </si>
  <si>
    <t>т.72 §42</t>
  </si>
  <si>
    <t>Определение растворенной формы ртути колориметрическим методом</t>
  </si>
  <si>
    <t>т.72 §48</t>
  </si>
  <si>
    <t>Определение растворенной формы свинца колориметрическим методом</t>
  </si>
  <si>
    <t>т.72 §49</t>
  </si>
  <si>
    <t>Определение сульфатов весовым методом</t>
  </si>
  <si>
    <t>т.72 §55</t>
  </si>
  <si>
    <t>Определение сухого остатка методом простого выпаривания</t>
  </si>
  <si>
    <t>т.72 §56</t>
  </si>
  <si>
    <t>Титрометрическое определение хлоридов</t>
  </si>
  <si>
    <t>т.72 §73</t>
  </si>
  <si>
    <t>Определение растворенной формы цинка колориметрическим методом</t>
  </si>
  <si>
    <t>т.72 §75</t>
  </si>
  <si>
    <t>ИТОГО по лабораторным работам</t>
  </si>
  <si>
    <t>КАМЕРАЛЬНЫЕ РАБОТЫ</t>
  </si>
  <si>
    <t>Инженерно-экологическая рекогносцировка при удовлетворительной проходимости, II  сложности</t>
  </si>
  <si>
    <t>Наблюдения при передвижении по маршруту при составлении почвенной карты в масштабе 1:2000-1:1000, удовлетворительная проходимость</t>
  </si>
  <si>
    <t>Описание точек наблюдений при составлении инженерно-экологических карт, II категория сложности</t>
  </si>
  <si>
    <t>Описание точек наблюдений при составлении почвенных карт, I категория сложности</t>
  </si>
  <si>
    <t>Камеральная обработка химических анализов на загрязненность почво­грунтов, воды</t>
  </si>
  <si>
    <t>т.86 §6</t>
  </si>
  <si>
    <t>Составление технического отчета о результатах выполненных работ, стоимость камеральных работ св. 5 до 20 тыс. руб., II категория сложности (18% от стоимости всех камеральных работ)</t>
  </si>
  <si>
    <t>т.87 §1</t>
  </si>
  <si>
    <t>ИТОГО по камеральным работам:</t>
  </si>
  <si>
    <t>ИТОГО по всем видам работ в ценах по состоянию на 01.01.1991 г.:</t>
  </si>
  <si>
    <t>Итого с учетом индекса изменения сметной стоимости изыскательских работ для строительства к справочникам базовых цен на инженерные изыскания на 2кв. 2021 г.</t>
  </si>
  <si>
    <t xml:space="preserve"> Письмо Минстроя РФ № 18410-ИФ/09 от 04.05.2021</t>
  </si>
  <si>
    <t>ИТОГО в ценах текущего периода</t>
  </si>
  <si>
    <t>НДС 20 %</t>
  </si>
  <si>
    <t>Стоимость инженерно-геодезических изысканий</t>
  </si>
  <si>
    <t>Стоимость инженерно-геологических изысканий</t>
  </si>
  <si>
    <t>5</t>
  </si>
  <si>
    <t>Смета №5</t>
  </si>
  <si>
    <t xml:space="preserve">Разработка проектной документации </t>
  </si>
  <si>
    <t>Экологическая экспертиза</t>
  </si>
  <si>
    <t>Индекс дефлирования на 2022 г. (104,8+100)/200</t>
  </si>
  <si>
    <t xml:space="preserve">Составил: </t>
  </si>
  <si>
    <t>Инженер 1 кат.</t>
  </si>
  <si>
    <t>Чижова А.Н.</t>
  </si>
  <si>
    <t>Стоимость инженерно-экологических изысканий</t>
  </si>
  <si>
    <t>СМЕТА №5 Инженерно-экологические изыскания</t>
  </si>
  <si>
    <t>Проектирование. Реконструкция ПС-110/10 кВ №41 «Сийская» в Пинежском районе Архангельской области с монтажом трансформаторов тока 110 кВ, трансформатора напряжения 110 кВ, дифференциально-фазных защит и системы оперативного постоянного тока (Общество с ограниченной ответственностью «Группа компаний «УЛК», дог.№15-00968А/20 от 30.06.2021) (ТТ – 6шт, ТН – 1 шт, СОПТ-1 шт, ДФЗ-2 компл.)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</si>
</sst>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Book Antiqua"/>
      <family val="1"/>
      <charset val="204"/>
    </font>
    <font>
      <b/>
      <u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7" fillId="0" borderId="0">
      <alignment horizontal="right" vertical="center"/>
    </xf>
    <xf numFmtId="0" fontId="2" fillId="0" borderId="0"/>
    <xf numFmtId="0" fontId="18" fillId="0" borderId="1">
      <alignment horizontal="center" wrapText="1"/>
    </xf>
    <xf numFmtId="0" fontId="18" fillId="0" borderId="0">
      <alignment horizontal="right" vertical="top" wrapText="1"/>
    </xf>
    <xf numFmtId="0" fontId="18" fillId="0" borderId="0">
      <alignment horizontal="center"/>
    </xf>
    <xf numFmtId="0" fontId="18" fillId="0" borderId="0">
      <alignment horizontal="left" vertical="top"/>
    </xf>
    <xf numFmtId="0" fontId="1" fillId="0" borderId="0"/>
  </cellStyleXfs>
  <cellXfs count="19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3" fillId="0" borderId="0" xfId="0" applyFont="1"/>
    <xf numFmtId="4" fontId="0" fillId="0" borderId="0" xfId="0" applyNumberFormat="1" applyFont="1"/>
    <xf numFmtId="0" fontId="5" fillId="0" borderId="0" xfId="0" applyFont="1" applyBorder="1"/>
    <xf numFmtId="0" fontId="6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5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7" fillId="0" borderId="0" xfId="0" applyNumberFormat="1" applyFont="1" applyBorder="1"/>
    <xf numFmtId="49" fontId="6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" fontId="10" fillId="3" borderId="14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9" fontId="0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0" fontId="0" fillId="0" borderId="0" xfId="0" applyFont="1" applyBorder="1"/>
    <xf numFmtId="49" fontId="0" fillId="0" borderId="17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justify" vertical="center" wrapText="1"/>
    </xf>
    <xf numFmtId="4" fontId="10" fillId="3" borderId="30" xfId="0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8" fillId="0" borderId="0" xfId="5" applyFont="1" applyBorder="1">
      <alignment horizontal="center"/>
    </xf>
    <xf numFmtId="0" fontId="18" fillId="0" borderId="0" xfId="5" applyFont="1" applyBorder="1" applyAlignment="1">
      <alignment horizontal="right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2" xfId="3" applyFont="1" applyBorder="1">
      <alignment horizontal="center" wrapText="1"/>
    </xf>
    <xf numFmtId="0" fontId="18" fillId="0" borderId="0" xfId="0" applyFont="1" applyAlignment="1">
      <alignment vertical="top" wrapText="1"/>
    </xf>
    <xf numFmtId="0" fontId="23" fillId="0" borderId="0" xfId="0" applyFont="1" applyAlignment="1">
      <alignment vertical="top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quotePrefix="1" applyNumberFormat="1" applyFont="1" applyBorder="1" applyAlignment="1">
      <alignment horizontal="left" vertical="top" wrapText="1"/>
    </xf>
    <xf numFmtId="10" fontId="18" fillId="0" borderId="1" xfId="0" applyNumberFormat="1" applyFont="1" applyBorder="1" applyAlignment="1">
      <alignment horizontal="center" vertical="top" wrapText="1"/>
    </xf>
    <xf numFmtId="0" fontId="18" fillId="0" borderId="1" xfId="0" applyNumberFormat="1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right" vertical="top" wrapText="1"/>
    </xf>
    <xf numFmtId="0" fontId="18" fillId="0" borderId="0" xfId="0" applyFont="1" applyAlignment="1">
      <alignment vertical="top"/>
    </xf>
    <xf numFmtId="49" fontId="18" fillId="0" borderId="2" xfId="0" applyNumberFormat="1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2" xfId="0" quotePrefix="1" applyNumberFormat="1" applyFont="1" applyBorder="1" applyAlignment="1">
      <alignment horizontal="left" vertical="top" wrapText="1"/>
    </xf>
    <xf numFmtId="10" fontId="18" fillId="0" borderId="2" xfId="0" applyNumberFormat="1" applyFont="1" applyBorder="1" applyAlignment="1">
      <alignment horizontal="center" vertical="top" wrapText="1"/>
    </xf>
    <xf numFmtId="0" fontId="18" fillId="0" borderId="2" xfId="0" applyNumberFormat="1" applyFont="1" applyBorder="1" applyAlignment="1">
      <alignment horizontal="center" vertical="top" wrapText="1"/>
    </xf>
    <xf numFmtId="164" fontId="18" fillId="0" borderId="2" xfId="0" applyNumberFormat="1" applyFont="1" applyBorder="1" applyAlignment="1">
      <alignment horizontal="right" vertical="top" wrapText="1"/>
    </xf>
    <xf numFmtId="0" fontId="23" fillId="0" borderId="0" xfId="0" applyFont="1" applyAlignment="1">
      <alignment wrapText="1"/>
    </xf>
    <xf numFmtId="164" fontId="18" fillId="0" borderId="1" xfId="4" applyNumberFormat="1" applyFont="1" applyBorder="1" applyAlignment="1">
      <alignment horizontal="right" vertical="top" wrapText="1"/>
    </xf>
    <xf numFmtId="164" fontId="22" fillId="0" borderId="1" xfId="4" applyNumberFormat="1" applyFont="1" applyBorder="1" applyAlignment="1">
      <alignment horizontal="right" vertical="top" wrapText="1"/>
    </xf>
    <xf numFmtId="0" fontId="18" fillId="0" borderId="0" xfId="6" applyFont="1">
      <alignment horizontal="left" vertical="top"/>
    </xf>
    <xf numFmtId="2" fontId="18" fillId="0" borderId="1" xfId="0" applyNumberFormat="1" applyFont="1" applyBorder="1" applyAlignment="1">
      <alignment horizontal="right" vertical="top" wrapText="1"/>
    </xf>
    <xf numFmtId="2" fontId="18" fillId="0" borderId="2" xfId="0" applyNumberFormat="1" applyFont="1" applyBorder="1" applyAlignment="1">
      <alignment horizontal="right" vertical="top" wrapText="1"/>
    </xf>
    <xf numFmtId="4" fontId="18" fillId="0" borderId="1" xfId="4" applyNumberFormat="1" applyFont="1" applyBorder="1" applyAlignment="1">
      <alignment horizontal="right" vertical="top" wrapText="1"/>
    </xf>
    <xf numFmtId="4" fontId="22" fillId="0" borderId="1" xfId="4" applyNumberFormat="1" applyFont="1" applyBorder="1" applyAlignment="1">
      <alignment horizontal="right" vertical="top" wrapText="1"/>
    </xf>
    <xf numFmtId="49" fontId="5" fillId="0" borderId="0" xfId="0" applyNumberFormat="1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9" fontId="25" fillId="0" borderId="0" xfId="0" applyNumberFormat="1" applyFont="1" applyBorder="1"/>
    <xf numFmtId="4" fontId="18" fillId="0" borderId="0" xfId="0" applyNumberFormat="1" applyFont="1"/>
    <xf numFmtId="0" fontId="18" fillId="0" borderId="0" xfId="0" applyFont="1" applyAlignment="1">
      <alignment horizontal="left" indent="1"/>
    </xf>
    <xf numFmtId="0" fontId="23" fillId="0" borderId="31" xfId="0" applyFont="1" applyBorder="1" applyAlignment="1">
      <alignment vertical="top" wrapText="1"/>
    </xf>
    <xf numFmtId="164" fontId="23" fillId="0" borderId="16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26" fillId="0" borderId="0" xfId="7" applyFont="1"/>
    <xf numFmtId="4" fontId="26" fillId="0" borderId="0" xfId="7" applyNumberFormat="1" applyFont="1"/>
    <xf numFmtId="0" fontId="27" fillId="4" borderId="32" xfId="7" applyFont="1" applyFill="1" applyBorder="1" applyAlignment="1">
      <alignment horizontal="center" vertical="center" wrapText="1"/>
    </xf>
    <xf numFmtId="0" fontId="27" fillId="4" borderId="34" xfId="7" applyFont="1" applyFill="1" applyBorder="1" applyAlignment="1">
      <alignment horizontal="center" vertical="center" wrapText="1"/>
    </xf>
    <xf numFmtId="0" fontId="26" fillId="4" borderId="34" xfId="7" applyFont="1" applyFill="1" applyBorder="1" applyAlignment="1">
      <alignment horizontal="center" vertical="center" wrapText="1"/>
    </xf>
    <xf numFmtId="4" fontId="28" fillId="4" borderId="33" xfId="7" applyNumberFormat="1" applyFont="1" applyFill="1" applyBorder="1" applyAlignment="1">
      <alignment horizontal="center" vertical="center" wrapText="1"/>
    </xf>
    <xf numFmtId="0" fontId="29" fillId="0" borderId="0" xfId="7" applyFont="1"/>
    <xf numFmtId="4" fontId="27" fillId="4" borderId="33" xfId="7" applyNumberFormat="1" applyFont="1" applyFill="1" applyBorder="1" applyAlignment="1">
      <alignment horizontal="center" vertical="center" wrapText="1"/>
    </xf>
    <xf numFmtId="0" fontId="27" fillId="4" borderId="40" xfId="7" applyFont="1" applyFill="1" applyBorder="1" applyAlignment="1">
      <alignment horizontal="center" vertical="center" wrapText="1"/>
    </xf>
    <xf numFmtId="4" fontId="27" fillId="4" borderId="32" xfId="7" applyNumberFormat="1" applyFont="1" applyFill="1" applyBorder="1" applyAlignment="1">
      <alignment horizontal="center" vertical="center" wrapText="1"/>
    </xf>
    <xf numFmtId="0" fontId="27" fillId="4" borderId="36" xfId="7" applyFont="1" applyFill="1" applyBorder="1" applyAlignment="1">
      <alignment horizontal="center" vertical="center" wrapText="1"/>
    </xf>
    <xf numFmtId="4" fontId="27" fillId="4" borderId="41" xfId="7" applyNumberFormat="1" applyFont="1" applyFill="1" applyBorder="1" applyAlignment="1">
      <alignment horizontal="center" vertical="center" wrapText="1"/>
    </xf>
    <xf numFmtId="4" fontId="27" fillId="4" borderId="36" xfId="7" applyNumberFormat="1" applyFont="1" applyFill="1" applyBorder="1" applyAlignment="1">
      <alignment horizontal="center" vertical="center" wrapText="1"/>
    </xf>
    <xf numFmtId="3" fontId="27" fillId="4" borderId="32" xfId="7" applyNumberFormat="1" applyFont="1" applyFill="1" applyBorder="1" applyAlignment="1">
      <alignment horizontal="center" vertical="center" wrapText="1"/>
    </xf>
    <xf numFmtId="4" fontId="28" fillId="4" borderId="41" xfId="7" applyNumberFormat="1" applyFont="1" applyFill="1" applyBorder="1" applyAlignment="1">
      <alignment horizontal="center" vertical="center" wrapText="1"/>
    </xf>
    <xf numFmtId="4" fontId="29" fillId="0" borderId="0" xfId="7" applyNumberFormat="1" applyFont="1"/>
    <xf numFmtId="0" fontId="10" fillId="2" borderId="1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49" fontId="0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justify" vertical="center" wrapText="1"/>
    </xf>
    <xf numFmtId="0" fontId="21" fillId="0" borderId="0" xfId="0" applyFont="1" applyAlignment="1">
      <alignment horizontal="left" wrapText="1"/>
    </xf>
    <xf numFmtId="0" fontId="23" fillId="0" borderId="15" xfId="0" applyNumberFormat="1" applyFont="1" applyBorder="1" applyAlignment="1">
      <alignment horizontal="left" vertical="top" wrapText="1" indent="5"/>
    </xf>
    <xf numFmtId="0" fontId="23" fillId="0" borderId="31" xfId="0" applyFont="1" applyBorder="1" applyAlignment="1">
      <alignment horizontal="left" vertical="top" wrapText="1" indent="5"/>
    </xf>
    <xf numFmtId="0" fontId="23" fillId="0" borderId="16" xfId="0" applyFont="1" applyBorder="1" applyAlignment="1">
      <alignment horizontal="left" vertical="top" wrapText="1" indent="5"/>
    </xf>
    <xf numFmtId="0" fontId="21" fillId="0" borderId="0" xfId="5" applyFont="1" applyBorder="1" applyAlignment="1">
      <alignment horizontal="left" vertical="top" wrapText="1"/>
    </xf>
    <xf numFmtId="0" fontId="22" fillId="0" borderId="1" xfId="4" applyNumberFormat="1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18" fillId="0" borderId="1" xfId="4" applyNumberFormat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8" fillId="0" borderId="0" xfId="5" applyFont="1">
      <alignment horizontal="center"/>
    </xf>
    <xf numFmtId="0" fontId="23" fillId="0" borderId="15" xfId="0" applyNumberFormat="1" applyFont="1" applyBorder="1" applyAlignment="1">
      <alignment horizontal="center" vertical="top" wrapText="1"/>
    </xf>
    <xf numFmtId="0" fontId="23" fillId="0" borderId="31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0" fontId="28" fillId="4" borderId="36" xfId="7" applyFont="1" applyFill="1" applyBorder="1" applyAlignment="1">
      <alignment horizontal="center" vertical="center" wrapText="1"/>
    </xf>
    <xf numFmtId="0" fontId="28" fillId="4" borderId="37" xfId="7" applyFont="1" applyFill="1" applyBorder="1" applyAlignment="1">
      <alignment horizontal="center" vertical="center" wrapText="1"/>
    </xf>
    <xf numFmtId="0" fontId="28" fillId="4" borderId="38" xfId="7" applyFont="1" applyFill="1" applyBorder="1" applyAlignment="1">
      <alignment horizontal="center" vertical="center" wrapText="1"/>
    </xf>
    <xf numFmtId="0" fontId="27" fillId="4" borderId="33" xfId="7" applyFont="1" applyFill="1" applyBorder="1" applyAlignment="1">
      <alignment horizontal="center" vertical="center" wrapText="1"/>
    </xf>
    <xf numFmtId="0" fontId="27" fillId="4" borderId="35" xfId="7" applyFont="1" applyFill="1" applyBorder="1" applyAlignment="1">
      <alignment horizontal="center" vertical="center" wrapText="1"/>
    </xf>
    <xf numFmtId="4" fontId="27" fillId="4" borderId="33" xfId="7" applyNumberFormat="1" applyFont="1" applyFill="1" applyBorder="1" applyAlignment="1">
      <alignment horizontal="center" vertical="center" wrapText="1"/>
    </xf>
    <xf numFmtId="4" fontId="27" fillId="4" borderId="35" xfId="7" applyNumberFormat="1" applyFont="1" applyFill="1" applyBorder="1" applyAlignment="1">
      <alignment horizontal="center" vertical="center" wrapText="1"/>
    </xf>
    <xf numFmtId="0" fontId="27" fillId="4" borderId="36" xfId="7" applyFont="1" applyFill="1" applyBorder="1" applyAlignment="1">
      <alignment horizontal="center" vertical="center" wrapText="1"/>
    </xf>
    <xf numFmtId="0" fontId="27" fillId="4" borderId="37" xfId="7" applyFont="1" applyFill="1" applyBorder="1" applyAlignment="1">
      <alignment horizontal="center" vertical="center" wrapText="1"/>
    </xf>
    <xf numFmtId="0" fontId="27" fillId="4" borderId="38" xfId="7" applyFont="1" applyFill="1" applyBorder="1" applyAlignment="1">
      <alignment horizontal="center" vertical="center" wrapText="1"/>
    </xf>
    <xf numFmtId="4" fontId="28" fillId="4" borderId="36" xfId="7" applyNumberFormat="1" applyFont="1" applyFill="1" applyBorder="1" applyAlignment="1">
      <alignment horizontal="center" vertical="center" wrapText="1"/>
    </xf>
    <xf numFmtId="4" fontId="28" fillId="4" borderId="37" xfId="7" applyNumberFormat="1" applyFont="1" applyFill="1" applyBorder="1" applyAlignment="1">
      <alignment horizontal="center" vertical="center" wrapText="1"/>
    </xf>
    <xf numFmtId="4" fontId="28" fillId="4" borderId="38" xfId="7" applyNumberFormat="1" applyFont="1" applyFill="1" applyBorder="1" applyAlignment="1">
      <alignment horizontal="center" vertical="center" wrapText="1"/>
    </xf>
    <xf numFmtId="3" fontId="27" fillId="4" borderId="33" xfId="7" applyNumberFormat="1" applyFont="1" applyFill="1" applyBorder="1" applyAlignment="1">
      <alignment horizontal="center" vertical="center" wrapText="1"/>
    </xf>
    <xf numFmtId="3" fontId="27" fillId="4" borderId="35" xfId="7" applyNumberFormat="1" applyFont="1" applyFill="1" applyBorder="1" applyAlignment="1">
      <alignment horizontal="center" vertical="center" wrapText="1"/>
    </xf>
    <xf numFmtId="0" fontId="27" fillId="4" borderId="39" xfId="7" applyFont="1" applyFill="1" applyBorder="1" applyAlignment="1">
      <alignment horizontal="center" vertical="center" wrapText="1"/>
    </xf>
    <xf numFmtId="4" fontId="27" fillId="4" borderId="39" xfId="7" applyNumberFormat="1" applyFont="1" applyFill="1" applyBorder="1" applyAlignment="1">
      <alignment horizontal="center" vertical="center" wrapText="1"/>
    </xf>
    <xf numFmtId="0" fontId="26" fillId="0" borderId="0" xfId="7" applyFont="1" applyAlignment="1">
      <alignment horizontal="center" wrapText="1"/>
    </xf>
    <xf numFmtId="0" fontId="5" fillId="0" borderId="0" xfId="0" applyFont="1" applyBorder="1"/>
  </cellXfs>
  <cellStyles count="8">
    <cellStyle name="S2 2" xfId="1"/>
    <cellStyle name="Итоги" xfId="4"/>
    <cellStyle name="ЛокСмета" xfId="3"/>
    <cellStyle name="Обычный" xfId="0" builtinId="0"/>
    <cellStyle name="Обычный 2" xfId="2"/>
    <cellStyle name="Обычный 2 2" xfId="7"/>
    <cellStyle name="Титул" xfId="5"/>
    <cellStyle name="Хвост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476250</xdr:colOff>
      <xdr:row>20</xdr:row>
      <xdr:rowOff>85725</xdr:rowOff>
    </xdr:from>
    <xdr:to>
      <xdr:col>5</xdr:col>
      <xdr:colOff>327660</xdr:colOff>
      <xdr:row>21</xdr:row>
      <xdr:rowOff>95250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7315200"/>
          <a:ext cx="98488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847725</xdr:rowOff>
        </xdr:from>
        <xdr:to>
          <xdr:col>1</xdr:col>
          <xdr:colOff>1905000</xdr:colOff>
          <xdr:row>6</xdr:row>
          <xdr:rowOff>1095375</xdr:rowOff>
        </xdr:to>
        <xdr:sp macro="" textlink="">
          <xdr:nvSpPr>
            <xdr:cNvPr id="1025" name="CheckBox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847725</xdr:rowOff>
        </xdr:from>
        <xdr:to>
          <xdr:col>1</xdr:col>
          <xdr:colOff>1905000</xdr:colOff>
          <xdr:row>7</xdr:row>
          <xdr:rowOff>1095375</xdr:rowOff>
        </xdr:to>
        <xdr:sp macro="" textlink="">
          <xdr:nvSpPr>
            <xdr:cNvPr id="5144" name="CheckBox1" hidden="1">
              <a:extLst>
                <a:ext uri="{63B3BB69-23CF-44E3-9099-C40C66FF867C}">
                  <a14:compatExt spid="_x0000_s5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omments" Target="../comments1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image" Target="../media/image3.emf"/><Relationship Id="rId4" Type="http://schemas.openxmlformats.org/officeDocument/2006/relationships/control" Target="../activeX/activeX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4"/>
  <sheetViews>
    <sheetView view="pageBreakPreview" zoomScaleSheetLayoutView="100" workbookViewId="0">
      <selection activeCell="F5" sqref="F5"/>
    </sheetView>
  </sheetViews>
  <sheetFormatPr defaultColWidth="9.140625"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5.140625" style="1" customWidth="1"/>
    <col min="5" max="5" width="17" style="1" customWidth="1"/>
    <col min="6" max="8" width="15.85546875" style="4" customWidth="1"/>
    <col min="9" max="9" width="16.42578125" style="1" customWidth="1"/>
    <col min="10" max="10" width="12" style="1" customWidth="1"/>
    <col min="11" max="11" width="13.28515625" style="1" customWidth="1"/>
    <col min="12" max="12" width="11.7109375" style="1" bestFit="1" customWidth="1"/>
    <col min="13" max="16384" width="9.140625" style="1"/>
  </cols>
  <sheetData>
    <row r="1" spans="2:11" ht="12.75" customHeight="1" x14ac:dyDescent="0.2">
      <c r="B1" s="135" t="s">
        <v>345</v>
      </c>
      <c r="C1" s="135"/>
      <c r="D1" s="135"/>
      <c r="E1" s="135"/>
      <c r="F1" s="135"/>
      <c r="G1" s="135"/>
      <c r="H1" s="135"/>
    </row>
    <row r="2" spans="2:11" s="3" customFormat="1" ht="21" customHeight="1" x14ac:dyDescent="0.25">
      <c r="B2" s="135"/>
      <c r="C2" s="135"/>
      <c r="D2" s="135"/>
      <c r="E2" s="135"/>
      <c r="F2" s="135"/>
      <c r="G2" s="135"/>
      <c r="H2" s="135"/>
      <c r="I2" s="1"/>
    </row>
    <row r="3" spans="2:11" s="3" customFormat="1" ht="29.25" customHeight="1" x14ac:dyDescent="0.25">
      <c r="B3" s="135"/>
      <c r="C3" s="135"/>
      <c r="D3" s="135"/>
      <c r="E3" s="135"/>
      <c r="F3" s="135"/>
      <c r="G3" s="135"/>
      <c r="H3" s="135"/>
      <c r="I3" s="1"/>
    </row>
    <row r="4" spans="2:11" s="3" customFormat="1" ht="26.25" customHeight="1" x14ac:dyDescent="0.25">
      <c r="B4" s="136" t="s">
        <v>25</v>
      </c>
      <c r="C4" s="136"/>
      <c r="D4" s="136"/>
      <c r="E4" s="136"/>
      <c r="F4" s="136"/>
      <c r="G4" s="35"/>
      <c r="H4" s="35"/>
      <c r="I4" s="1"/>
    </row>
    <row r="5" spans="2:11" s="44" customFormat="1" ht="25.5" customHeight="1" x14ac:dyDescent="0.2">
      <c r="B5" s="45"/>
      <c r="C5" s="46" t="s">
        <v>66</v>
      </c>
      <c r="D5" s="46"/>
      <c r="E5" s="46"/>
      <c r="F5" s="47"/>
      <c r="G5" s="48"/>
      <c r="H5" s="48"/>
      <c r="I5" s="48"/>
      <c r="J5" s="48"/>
      <c r="K5" s="48"/>
    </row>
    <row r="6" spans="2:11" s="3" customFormat="1" ht="24" customHeight="1" x14ac:dyDescent="0.25">
      <c r="B6" s="12"/>
      <c r="C6" s="5" t="s">
        <v>166</v>
      </c>
      <c r="D6" s="5"/>
      <c r="E6" s="5"/>
      <c r="F6" s="9"/>
      <c r="G6" s="9"/>
      <c r="H6" s="9"/>
      <c r="I6" s="4"/>
    </row>
    <row r="7" spans="2:11" s="3" customFormat="1" ht="24" customHeight="1" x14ac:dyDescent="0.25">
      <c r="B7" s="12"/>
      <c r="C7" s="5"/>
      <c r="D7" s="5"/>
      <c r="E7" s="5"/>
      <c r="F7" s="9"/>
      <c r="G7" s="9"/>
      <c r="H7" s="9"/>
      <c r="I7" s="4"/>
    </row>
    <row r="8" spans="2:11" s="3" customFormat="1" ht="15" customHeight="1" x14ac:dyDescent="0.25">
      <c r="B8" s="137" t="s">
        <v>0</v>
      </c>
      <c r="C8" s="138" t="s">
        <v>1</v>
      </c>
      <c r="D8" s="138" t="s">
        <v>2</v>
      </c>
      <c r="E8" s="139" t="s">
        <v>3</v>
      </c>
      <c r="F8" s="140" t="s">
        <v>19</v>
      </c>
      <c r="G8" s="140" t="s">
        <v>20</v>
      </c>
      <c r="H8" s="140" t="s">
        <v>21</v>
      </c>
      <c r="I8" s="4"/>
    </row>
    <row r="9" spans="2:11" ht="28.5" customHeight="1" x14ac:dyDescent="0.2">
      <c r="B9" s="137"/>
      <c r="C9" s="138"/>
      <c r="D9" s="138"/>
      <c r="E9" s="139"/>
      <c r="F9" s="140"/>
      <c r="G9" s="140"/>
      <c r="H9" s="140"/>
    </row>
    <row r="10" spans="2:11" x14ac:dyDescent="0.2">
      <c r="B10" s="109"/>
      <c r="C10" s="110"/>
      <c r="D10" s="110"/>
      <c r="E10" s="111"/>
      <c r="F10" s="112"/>
      <c r="G10" s="112"/>
      <c r="H10" s="112"/>
    </row>
    <row r="11" spans="2:11" ht="47.25" customHeight="1" x14ac:dyDescent="0.2">
      <c r="B11" s="49" t="s">
        <v>7</v>
      </c>
      <c r="C11" s="61" t="s">
        <v>8</v>
      </c>
      <c r="D11" s="18" t="s">
        <v>4</v>
      </c>
      <c r="E11" s="36" t="s">
        <v>5</v>
      </c>
      <c r="F11" s="130">
        <f>'Предпроект '!F19</f>
        <v>123429.22499999999</v>
      </c>
      <c r="G11" s="130">
        <f t="shared" ref="G11:G15" si="0">F11*0.2</f>
        <v>24685.845000000001</v>
      </c>
      <c r="H11" s="130">
        <f t="shared" ref="H11:H15" si="1">F11+G11</f>
        <v>148115.07</v>
      </c>
      <c r="I11" s="4"/>
    </row>
    <row r="12" spans="2:11" ht="31.5" customHeight="1" x14ac:dyDescent="0.2">
      <c r="B12" s="49" t="s">
        <v>9</v>
      </c>
      <c r="C12" s="61" t="s">
        <v>333</v>
      </c>
      <c r="D12" s="18" t="s">
        <v>4</v>
      </c>
      <c r="E12" s="36" t="s">
        <v>6</v>
      </c>
      <c r="F12" s="130">
        <f>'Инженерно-геодезические'!N18</f>
        <v>103943.67659999999</v>
      </c>
      <c r="G12" s="130">
        <f t="shared" si="0"/>
        <v>20788.73532</v>
      </c>
      <c r="H12" s="130">
        <f t="shared" si="1"/>
        <v>124732.41191999998</v>
      </c>
    </row>
    <row r="13" spans="2:11" ht="31.5" customHeight="1" x14ac:dyDescent="0.2">
      <c r="B13" s="49" t="s">
        <v>18</v>
      </c>
      <c r="C13" s="61" t="s">
        <v>334</v>
      </c>
      <c r="D13" s="18" t="s">
        <v>4</v>
      </c>
      <c r="E13" s="36" t="s">
        <v>154</v>
      </c>
      <c r="F13" s="130">
        <f>Геология!N25</f>
        <v>80543.974799999996</v>
      </c>
      <c r="G13" s="130">
        <f t="shared" si="0"/>
        <v>16108.794959999999</v>
      </c>
      <c r="H13" s="130">
        <f t="shared" si="1"/>
        <v>96652.769759999996</v>
      </c>
    </row>
    <row r="14" spans="2:11" ht="31.5" customHeight="1" x14ac:dyDescent="0.2">
      <c r="B14" s="49" t="s">
        <v>59</v>
      </c>
      <c r="C14" s="61" t="s">
        <v>337</v>
      </c>
      <c r="D14" s="18" t="s">
        <v>4</v>
      </c>
      <c r="E14" s="36" t="s">
        <v>155</v>
      </c>
      <c r="F14" s="130">
        <f>'Проект '!F32</f>
        <v>1672398.1710000001</v>
      </c>
      <c r="G14" s="130">
        <f t="shared" si="0"/>
        <v>334479.63420000003</v>
      </c>
      <c r="H14" s="130">
        <f t="shared" si="1"/>
        <v>2006877.8052000001</v>
      </c>
    </row>
    <row r="15" spans="2:11" ht="31.5" customHeight="1" x14ac:dyDescent="0.2">
      <c r="B15" s="49" t="s">
        <v>335</v>
      </c>
      <c r="C15" s="61" t="s">
        <v>343</v>
      </c>
      <c r="D15" s="18" t="s">
        <v>4</v>
      </c>
      <c r="E15" s="36" t="s">
        <v>336</v>
      </c>
      <c r="F15" s="130">
        <f>Экология!H104</f>
        <v>110722.51312150001</v>
      </c>
      <c r="G15" s="130">
        <f t="shared" si="0"/>
        <v>22144.502624300003</v>
      </c>
      <c r="H15" s="130">
        <f t="shared" si="1"/>
        <v>132867.01574580002</v>
      </c>
    </row>
    <row r="16" spans="2:11" x14ac:dyDescent="0.2">
      <c r="B16" s="49" t="s">
        <v>173</v>
      </c>
      <c r="C16" s="129" t="s">
        <v>338</v>
      </c>
      <c r="D16" s="18" t="s">
        <v>4</v>
      </c>
      <c r="E16" s="36"/>
      <c r="F16" s="130">
        <v>160000</v>
      </c>
      <c r="G16" s="130">
        <f t="shared" ref="G16" si="2">F16*0.2</f>
        <v>32000</v>
      </c>
      <c r="H16" s="130">
        <f>F16+G16</f>
        <v>192000</v>
      </c>
    </row>
    <row r="17" spans="2:8" ht="36.75" customHeight="1" x14ac:dyDescent="0.2">
      <c r="B17" s="49" t="s">
        <v>115</v>
      </c>
      <c r="C17" s="108" t="s">
        <v>339</v>
      </c>
      <c r="D17" s="108"/>
      <c r="E17" s="36" t="s">
        <v>174</v>
      </c>
      <c r="F17" s="130">
        <f>SUM(F10:F16)*0.024</f>
        <v>54024.901452516009</v>
      </c>
      <c r="G17" s="130">
        <f>SUM(G10:G16)*0.024</f>
        <v>10804.980290503201</v>
      </c>
      <c r="H17" s="130">
        <f>SUM(H10:H16)*0.024</f>
        <v>64829.881743019199</v>
      </c>
    </row>
    <row r="18" spans="2:8" ht="21.75" customHeight="1" x14ac:dyDescent="0.2">
      <c r="B18" s="49"/>
      <c r="C18" s="141" t="s">
        <v>24</v>
      </c>
      <c r="D18" s="141"/>
      <c r="E18" s="36"/>
      <c r="F18" s="130">
        <f>SUM(F11:F17)</f>
        <v>2305062.4619740164</v>
      </c>
      <c r="G18" s="130">
        <f>SUM(G11:G17)</f>
        <v>461012.49239480321</v>
      </c>
      <c r="H18" s="130">
        <f>SUM(H11:H17)</f>
        <v>2766074.954368819</v>
      </c>
    </row>
    <row r="19" spans="2:8" x14ac:dyDescent="0.2">
      <c r="B19" s="13"/>
      <c r="C19" s="2"/>
      <c r="D19" s="7"/>
      <c r="E19" s="2"/>
      <c r="F19" s="10"/>
      <c r="G19" s="10"/>
      <c r="H19" s="10"/>
    </row>
    <row r="20" spans="2:8" ht="19.5" customHeight="1" x14ac:dyDescent="0.25">
      <c r="B20" s="1"/>
      <c r="D20" s="133"/>
      <c r="E20" s="133"/>
      <c r="F20" s="133"/>
      <c r="G20" s="60"/>
      <c r="H20" s="60"/>
    </row>
    <row r="21" spans="2:8" s="39" customFormat="1" ht="32.25" customHeight="1" x14ac:dyDescent="0.2">
      <c r="B21" s="142" t="s">
        <v>340</v>
      </c>
      <c r="C21" s="142"/>
      <c r="D21" s="41" t="s">
        <v>341</v>
      </c>
      <c r="E21" s="42"/>
      <c r="F21" s="43"/>
      <c r="G21" s="39" t="s">
        <v>342</v>
      </c>
    </row>
    <row r="22" spans="2:8" ht="13.5" customHeight="1" x14ac:dyDescent="0.25">
      <c r="B22" s="1"/>
      <c r="C22" s="17"/>
      <c r="D22" s="134"/>
      <c r="E22" s="134"/>
      <c r="F22" s="134"/>
      <c r="G22" s="131"/>
      <c r="H22" s="131"/>
    </row>
    <row r="23" spans="2:8" x14ac:dyDescent="0.2">
      <c r="B23" s="132"/>
      <c r="C23" s="132"/>
      <c r="D23" s="8"/>
    </row>
    <row r="24" spans="2:8" x14ac:dyDescent="0.2">
      <c r="D24" s="8"/>
    </row>
  </sheetData>
  <mergeCells count="14">
    <mergeCell ref="B23:C23"/>
    <mergeCell ref="D20:F20"/>
    <mergeCell ref="D22:F22"/>
    <mergeCell ref="B1:H3"/>
    <mergeCell ref="B4:F4"/>
    <mergeCell ref="B8:B9"/>
    <mergeCell ref="C8:C9"/>
    <mergeCell ref="D8:D9"/>
    <mergeCell ref="E8:E9"/>
    <mergeCell ref="F8:F9"/>
    <mergeCell ref="G8:G9"/>
    <mergeCell ref="H8:H9"/>
    <mergeCell ref="C18:D18"/>
    <mergeCell ref="B21:C21"/>
  </mergeCells>
  <pageMargins left="0.47244094488188981" right="0.23622047244094491" top="0.51181102362204722" bottom="0.74803149606299213" header="0.31496062992125984" footer="0.31496062992125984"/>
  <pageSetup paperSize="9" scale="7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topLeftCell="B1" zoomScaleSheetLayoutView="100" workbookViewId="0">
      <selection activeCell="B2" sqref="B2:F4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19"/>
    </row>
    <row r="2" spans="2:11" ht="9.75" customHeight="1" x14ac:dyDescent="0.2">
      <c r="B2" s="135" t="s">
        <v>345</v>
      </c>
      <c r="C2" s="135"/>
      <c r="D2" s="135"/>
      <c r="E2" s="135"/>
      <c r="F2" s="135"/>
    </row>
    <row r="3" spans="2:11" s="3" customFormat="1" ht="13.5" customHeight="1" x14ac:dyDescent="0.25">
      <c r="B3" s="135"/>
      <c r="C3" s="135"/>
      <c r="D3" s="135"/>
      <c r="E3" s="135"/>
      <c r="F3" s="135"/>
      <c r="G3" s="1"/>
      <c r="H3" s="1"/>
      <c r="I3" s="1"/>
      <c r="J3" s="1"/>
      <c r="K3" s="1"/>
    </row>
    <row r="4" spans="2:11" s="3" customFormat="1" ht="51.75" customHeight="1" x14ac:dyDescent="0.25">
      <c r="B4" s="135"/>
      <c r="C4" s="135"/>
      <c r="D4" s="135"/>
      <c r="E4" s="135"/>
      <c r="F4" s="135"/>
      <c r="G4" s="1"/>
      <c r="H4" s="1"/>
      <c r="I4" s="1"/>
      <c r="J4" s="1"/>
      <c r="K4" s="1"/>
    </row>
    <row r="5" spans="2:11" s="3" customFormat="1" ht="28.5" customHeight="1" x14ac:dyDescent="0.25">
      <c r="B5" s="20"/>
      <c r="C5" s="21"/>
      <c r="D5" s="54" t="s">
        <v>152</v>
      </c>
      <c r="E5" s="21"/>
      <c r="F5" s="22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4" customFormat="1" ht="25.5" customHeight="1" x14ac:dyDescent="0.2">
      <c r="B7" s="45"/>
      <c r="C7" s="46" t="s">
        <v>66</v>
      </c>
      <c r="D7" s="46"/>
      <c r="E7" s="46"/>
      <c r="F7" s="47"/>
      <c r="G7" s="48"/>
      <c r="H7" s="48"/>
      <c r="I7" s="48"/>
      <c r="J7" s="48"/>
      <c r="K7" s="48"/>
    </row>
    <row r="8" spans="2:11" s="3" customFormat="1" ht="24" customHeight="1" x14ac:dyDescent="0.25">
      <c r="B8" s="12"/>
      <c r="C8" s="5" t="s">
        <v>167</v>
      </c>
      <c r="D8" s="5"/>
      <c r="E8" s="5"/>
      <c r="F8" s="9"/>
      <c r="G8" s="9"/>
      <c r="H8" s="9"/>
      <c r="I8" s="4"/>
    </row>
    <row r="9" spans="2:11" ht="64.5" thickBot="1" x14ac:dyDescent="0.25">
      <c r="B9" s="15" t="s">
        <v>0</v>
      </c>
      <c r="C9" s="59" t="s">
        <v>10</v>
      </c>
      <c r="D9" s="59" t="s">
        <v>11</v>
      </c>
      <c r="E9" s="59" t="s">
        <v>12</v>
      </c>
      <c r="F9" s="16" t="s">
        <v>62</v>
      </c>
    </row>
    <row r="10" spans="2:11" ht="26.25" customHeight="1" thickBot="1" x14ac:dyDescent="0.25">
      <c r="B10" s="23">
        <v>1</v>
      </c>
      <c r="C10" s="150" t="s">
        <v>56</v>
      </c>
      <c r="D10" s="151"/>
      <c r="E10" s="151"/>
      <c r="F10" s="24">
        <f>SUM(F13:F16)</f>
        <v>3511.5</v>
      </c>
    </row>
    <row r="11" spans="2:11" x14ac:dyDescent="0.2">
      <c r="B11" s="152" t="s">
        <v>13</v>
      </c>
      <c r="C11" s="154" t="s">
        <v>14</v>
      </c>
      <c r="D11" s="156" t="s">
        <v>46</v>
      </c>
      <c r="E11" s="157"/>
      <c r="F11" s="25"/>
    </row>
    <row r="12" spans="2:11" x14ac:dyDescent="0.2">
      <c r="B12" s="153"/>
      <c r="C12" s="155"/>
      <c r="D12" s="57" t="s">
        <v>47</v>
      </c>
      <c r="E12" s="58"/>
      <c r="F12" s="25"/>
    </row>
    <row r="13" spans="2:11" ht="15.75" x14ac:dyDescent="0.2">
      <c r="B13" s="153"/>
      <c r="C13" s="155"/>
      <c r="D13" s="26" t="s">
        <v>48</v>
      </c>
      <c r="E13" s="52" t="s">
        <v>49</v>
      </c>
      <c r="F13" s="27">
        <f>604*1.5</f>
        <v>906</v>
      </c>
    </row>
    <row r="14" spans="2:11" ht="41.25" x14ac:dyDescent="0.2">
      <c r="B14" s="153"/>
      <c r="C14" s="155"/>
      <c r="D14" s="26" t="s">
        <v>52</v>
      </c>
      <c r="E14" s="52" t="s">
        <v>50</v>
      </c>
      <c r="F14" s="27">
        <f>952*1.5</f>
        <v>1428</v>
      </c>
    </row>
    <row r="15" spans="2:11" ht="28.5" x14ac:dyDescent="0.2">
      <c r="B15" s="153"/>
      <c r="C15" s="155"/>
      <c r="D15" s="26" t="s">
        <v>53</v>
      </c>
      <c r="E15" s="52" t="s">
        <v>51</v>
      </c>
      <c r="F15" s="27">
        <f>608*1.5</f>
        <v>912</v>
      </c>
    </row>
    <row r="16" spans="2:11" ht="41.25" x14ac:dyDescent="0.2">
      <c r="B16" s="55"/>
      <c r="C16" s="56"/>
      <c r="D16" s="26" t="s">
        <v>54</v>
      </c>
      <c r="E16" s="52" t="s">
        <v>55</v>
      </c>
      <c r="F16" s="27">
        <f>177*1.5</f>
        <v>265.5</v>
      </c>
    </row>
    <row r="17" spans="2:7" ht="30" customHeight="1" thickBot="1" x14ac:dyDescent="0.25">
      <c r="B17" s="53"/>
      <c r="C17" s="149" t="s">
        <v>57</v>
      </c>
      <c r="D17" s="149"/>
      <c r="E17" s="149"/>
      <c r="F17" s="65">
        <f>F10</f>
        <v>3511.5</v>
      </c>
    </row>
    <row r="18" spans="2:7" ht="38.25" customHeight="1" x14ac:dyDescent="0.2">
      <c r="B18" s="28"/>
      <c r="C18" s="143" t="s">
        <v>172</v>
      </c>
      <c r="D18" s="144"/>
      <c r="E18" s="52">
        <v>35.15</v>
      </c>
      <c r="F18" s="30"/>
    </row>
    <row r="19" spans="2:7" ht="30" customHeight="1" thickBot="1" x14ac:dyDescent="0.25">
      <c r="B19" s="53"/>
      <c r="C19" s="149" t="s">
        <v>169</v>
      </c>
      <c r="D19" s="149"/>
      <c r="E19" s="149"/>
      <c r="F19" s="65">
        <f>F17*E18</f>
        <v>123429.22499999999</v>
      </c>
    </row>
    <row r="20" spans="2:7" ht="19.5" customHeight="1" x14ac:dyDescent="0.2">
      <c r="B20" s="28"/>
      <c r="C20" s="143" t="s">
        <v>23</v>
      </c>
      <c r="D20" s="144"/>
      <c r="E20" s="29"/>
      <c r="F20" s="30">
        <f>F19</f>
        <v>123429.22499999999</v>
      </c>
    </row>
    <row r="21" spans="2:7" ht="15.75" x14ac:dyDescent="0.2">
      <c r="B21" s="31"/>
      <c r="C21" s="145" t="s">
        <v>17</v>
      </c>
      <c r="D21" s="146"/>
      <c r="E21" s="37"/>
      <c r="F21" s="50">
        <f>F20*0.2</f>
        <v>24685.845000000001</v>
      </c>
    </row>
    <row r="22" spans="2:7" ht="16.5" thickBot="1" x14ac:dyDescent="0.25">
      <c r="B22" s="32"/>
      <c r="C22" s="147" t="s">
        <v>16</v>
      </c>
      <c r="D22" s="148"/>
      <c r="E22" s="38"/>
      <c r="F22" s="51">
        <f>F20+F21</f>
        <v>148115.07</v>
      </c>
    </row>
    <row r="23" spans="2:7" x14ac:dyDescent="0.2">
      <c r="B23" s="13"/>
      <c r="C23" s="2"/>
      <c r="D23" s="7"/>
      <c r="E23" s="2"/>
      <c r="F23" s="10"/>
    </row>
    <row r="24" spans="2:7" ht="14.25" customHeight="1" x14ac:dyDescent="0.25">
      <c r="B24" s="1"/>
      <c r="D24" s="133"/>
      <c r="E24" s="133"/>
      <c r="F24" s="33"/>
    </row>
    <row r="25" spans="2:7" s="39" customFormat="1" ht="32.25" customHeight="1" x14ac:dyDescent="0.2">
      <c r="B25" s="39" t="s">
        <v>22</v>
      </c>
      <c r="C25" s="40"/>
      <c r="D25" s="41"/>
      <c r="E25" s="42"/>
      <c r="F25" s="43"/>
      <c r="G25" s="43"/>
    </row>
    <row r="26" spans="2:7" ht="13.5" customHeight="1" x14ac:dyDescent="0.25">
      <c r="B26" s="1"/>
      <c r="C26" s="17"/>
      <c r="D26" s="134"/>
      <c r="E26" s="134"/>
      <c r="F26" s="1"/>
    </row>
    <row r="27" spans="2:7" x14ac:dyDescent="0.2">
      <c r="D27" s="8"/>
    </row>
    <row r="28" spans="2:7" x14ac:dyDescent="0.2">
      <c r="D28" s="8"/>
    </row>
  </sheetData>
  <mergeCells count="13">
    <mergeCell ref="C18:D18"/>
    <mergeCell ref="C19:E19"/>
    <mergeCell ref="C17:E17"/>
    <mergeCell ref="B2:F4"/>
    <mergeCell ref="C10:E10"/>
    <mergeCell ref="B11:B15"/>
    <mergeCell ref="C11:C15"/>
    <mergeCell ref="D11:E11"/>
    <mergeCell ref="C20:D20"/>
    <mergeCell ref="C21:D21"/>
    <mergeCell ref="C22:D22"/>
    <mergeCell ref="D24:E24"/>
    <mergeCell ref="D26:E26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  <rowBreaks count="1" manualBreakCount="1">
    <brk id="1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>
    <pageSetUpPr fitToPage="1"/>
  </sheetPr>
  <dimension ref="A1:Y27"/>
  <sheetViews>
    <sheetView showGridLines="0" zoomScale="85" zoomScaleNormal="85" workbookViewId="0">
      <selection activeCell="W3" sqref="W3"/>
    </sheetView>
  </sheetViews>
  <sheetFormatPr defaultRowHeight="12.75" outlineLevelRow="1" x14ac:dyDescent="0.2"/>
  <cols>
    <col min="1" max="1" width="5.7109375" style="68" customWidth="1"/>
    <col min="2" max="3" width="29.42578125" style="68" customWidth="1"/>
    <col min="4" max="4" width="16.85546875" style="68" customWidth="1"/>
    <col min="5" max="10" width="22.140625" style="68" hidden="1" customWidth="1"/>
    <col min="11" max="11" width="73.7109375" style="68" hidden="1" customWidth="1"/>
    <col min="12" max="13" width="15" style="68" hidden="1" customWidth="1"/>
    <col min="14" max="14" width="11.140625" style="68" customWidth="1"/>
    <col min="15" max="16" width="9.140625" style="68" customWidth="1"/>
    <col min="17" max="24" width="9.140625" style="68"/>
    <col min="25" max="25" width="56" style="69" customWidth="1"/>
    <col min="26" max="16384" width="9.140625" style="68"/>
  </cols>
  <sheetData>
    <row r="1" spans="1:25" ht="89.25" customHeight="1" x14ac:dyDescent="0.2">
      <c r="A1" s="158" t="s">
        <v>345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</row>
    <row r="3" spans="1:25" ht="28.5" customHeight="1" x14ac:dyDescent="0.2">
      <c r="B3" s="136" t="s">
        <v>102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Y3" s="68"/>
    </row>
    <row r="4" spans="1:25" s="44" customFormat="1" ht="19.5" customHeight="1" x14ac:dyDescent="0.2">
      <c r="A4" s="46" t="s">
        <v>66</v>
      </c>
      <c r="B4" s="45"/>
      <c r="D4" s="46"/>
      <c r="E4" s="46"/>
      <c r="F4" s="47"/>
      <c r="G4" s="48"/>
      <c r="H4" s="48"/>
      <c r="I4" s="48"/>
      <c r="J4" s="48"/>
      <c r="K4" s="48"/>
    </row>
    <row r="5" spans="1:25" s="3" customFormat="1" ht="24.75" customHeight="1" x14ac:dyDescent="0.25">
      <c r="A5" s="5" t="s">
        <v>167</v>
      </c>
      <c r="B5" s="12"/>
      <c r="D5" s="5"/>
      <c r="E5" s="5"/>
      <c r="F5" s="9"/>
      <c r="G5" s="9"/>
      <c r="H5" s="9"/>
      <c r="I5" s="4"/>
    </row>
    <row r="6" spans="1:25" x14ac:dyDescent="0.2"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2"/>
    </row>
    <row r="7" spans="1:25" s="74" customFormat="1" ht="100.5" customHeight="1" x14ac:dyDescent="0.2">
      <c r="A7" s="73" t="s">
        <v>69</v>
      </c>
      <c r="B7" s="73" t="s">
        <v>70</v>
      </c>
      <c r="C7" s="73" t="s">
        <v>71</v>
      </c>
      <c r="D7" s="73" t="s">
        <v>72</v>
      </c>
      <c r="E7" s="73"/>
      <c r="F7" s="73"/>
      <c r="G7" s="73"/>
      <c r="H7" s="73"/>
      <c r="I7" s="73"/>
      <c r="J7" s="73"/>
      <c r="K7" s="73"/>
      <c r="L7" s="73"/>
      <c r="M7" s="73"/>
      <c r="N7" s="73" t="s">
        <v>99</v>
      </c>
    </row>
    <row r="8" spans="1:25" x14ac:dyDescent="0.2">
      <c r="A8" s="75">
        <v>1</v>
      </c>
      <c r="B8" s="75">
        <v>2</v>
      </c>
      <c r="C8" s="75">
        <v>3</v>
      </c>
      <c r="D8" s="75">
        <v>4</v>
      </c>
      <c r="E8" s="75"/>
      <c r="F8" s="75"/>
      <c r="G8" s="75"/>
      <c r="H8" s="75"/>
      <c r="I8" s="75"/>
      <c r="J8" s="75"/>
      <c r="K8" s="75"/>
      <c r="L8" s="75"/>
      <c r="M8" s="75"/>
      <c r="N8" s="75">
        <v>5</v>
      </c>
    </row>
    <row r="9" spans="1:25" s="76" customFormat="1" ht="15" customHeight="1" x14ac:dyDescent="0.2">
      <c r="A9" s="159" t="s">
        <v>73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1"/>
      <c r="Y9" s="77"/>
    </row>
    <row r="10" spans="1:25" s="84" customFormat="1" ht="372.75" x14ac:dyDescent="0.2">
      <c r="A10" s="78"/>
      <c r="B10" s="79" t="s">
        <v>74</v>
      </c>
      <c r="C10" s="80" t="s">
        <v>96</v>
      </c>
      <c r="D10" s="81" t="s">
        <v>75</v>
      </c>
      <c r="E10" s="82">
        <v>2</v>
      </c>
      <c r="F10" s="82" t="s">
        <v>76</v>
      </c>
      <c r="G10" s="82" t="s">
        <v>77</v>
      </c>
      <c r="H10" s="82"/>
      <c r="I10" s="82"/>
      <c r="J10" s="82" t="s">
        <v>78</v>
      </c>
      <c r="K10" s="82" t="s">
        <v>79</v>
      </c>
      <c r="L10" s="82">
        <v>1</v>
      </c>
      <c r="M10" s="82" t="s">
        <v>80</v>
      </c>
      <c r="N10" s="95">
        <f>15.28304*1000</f>
        <v>15283.039999999999</v>
      </c>
      <c r="O10" s="76"/>
      <c r="P10" s="76"/>
      <c r="Q10" s="76"/>
      <c r="R10" s="76"/>
      <c r="S10" s="76"/>
      <c r="Y10" s="76"/>
    </row>
    <row r="11" spans="1:25" ht="252.75" x14ac:dyDescent="0.2">
      <c r="A11" s="85">
        <v>2</v>
      </c>
      <c r="B11" s="86" t="s">
        <v>81</v>
      </c>
      <c r="C11" s="87" t="s">
        <v>97</v>
      </c>
      <c r="D11" s="88" t="s">
        <v>82</v>
      </c>
      <c r="E11" s="89">
        <v>2</v>
      </c>
      <c r="F11" s="89" t="s">
        <v>83</v>
      </c>
      <c r="G11" s="89" t="s">
        <v>84</v>
      </c>
      <c r="H11" s="89"/>
      <c r="I11" s="89"/>
      <c r="J11" s="89" t="s">
        <v>78</v>
      </c>
      <c r="K11" s="89" t="s">
        <v>85</v>
      </c>
      <c r="L11" s="89">
        <v>1</v>
      </c>
      <c r="M11" s="89" t="s">
        <v>80</v>
      </c>
      <c r="N11" s="90">
        <f>5.74772*1000</f>
        <v>5747.72</v>
      </c>
      <c r="O11" s="76"/>
      <c r="P11" s="76"/>
      <c r="Q11" s="76"/>
      <c r="R11" s="76"/>
      <c r="S11" s="76"/>
    </row>
    <row r="12" spans="1:25" ht="15" customHeight="1" x14ac:dyDescent="0.2">
      <c r="A12" s="159" t="s">
        <v>86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1"/>
      <c r="O12" s="76"/>
      <c r="P12" s="76"/>
      <c r="Q12" s="76"/>
      <c r="R12" s="76"/>
      <c r="S12" s="76"/>
      <c r="Y12" s="91"/>
    </row>
    <row r="13" spans="1:25" ht="252.75" x14ac:dyDescent="0.2">
      <c r="A13" s="85">
        <v>3</v>
      </c>
      <c r="B13" s="86" t="s">
        <v>87</v>
      </c>
      <c r="C13" s="87" t="s">
        <v>98</v>
      </c>
      <c r="D13" s="88" t="s">
        <v>88</v>
      </c>
      <c r="E13" s="89">
        <v>1</v>
      </c>
      <c r="F13" s="89" t="s">
        <v>89</v>
      </c>
      <c r="G13" s="89" t="s">
        <v>90</v>
      </c>
      <c r="H13" s="89"/>
      <c r="I13" s="89"/>
      <c r="J13" s="89" t="s">
        <v>78</v>
      </c>
      <c r="K13" s="89" t="s">
        <v>91</v>
      </c>
      <c r="L13" s="89">
        <v>2</v>
      </c>
      <c r="M13" s="89" t="s">
        <v>92</v>
      </c>
      <c r="N13" s="96">
        <f>1.27475*1000</f>
        <v>1274.75</v>
      </c>
      <c r="O13" s="76"/>
      <c r="P13" s="76"/>
      <c r="Q13" s="76"/>
      <c r="R13" s="76"/>
      <c r="S13" s="76"/>
    </row>
    <row r="14" spans="1:25" ht="12.75" customHeight="1" x14ac:dyDescent="0.2">
      <c r="A14" s="165" t="s">
        <v>93</v>
      </c>
      <c r="B14" s="166"/>
      <c r="C14" s="166"/>
      <c r="D14" s="166"/>
      <c r="E14" s="166"/>
      <c r="F14" s="166"/>
      <c r="G14" s="166"/>
      <c r="H14" s="166"/>
      <c r="I14" s="166"/>
      <c r="J14" s="166"/>
      <c r="K14" s="166"/>
      <c r="L14" s="166"/>
      <c r="M14" s="166"/>
      <c r="N14" s="97">
        <f>N10+N11+N13</f>
        <v>22305.51</v>
      </c>
      <c r="O14" s="76"/>
      <c r="P14" s="76"/>
      <c r="Q14" s="76"/>
      <c r="R14" s="76"/>
      <c r="S14" s="76"/>
    </row>
    <row r="15" spans="1:25" ht="12.75" customHeight="1" outlineLevel="1" x14ac:dyDescent="0.2">
      <c r="A15" s="163" t="s">
        <v>94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98"/>
      <c r="O15" s="76"/>
      <c r="P15" s="76"/>
      <c r="Q15" s="76"/>
      <c r="R15" s="76"/>
      <c r="S15" s="76"/>
      <c r="Y15" s="70"/>
    </row>
    <row r="16" spans="1:25" ht="12.75" customHeight="1" outlineLevel="1" x14ac:dyDescent="0.2">
      <c r="A16" s="165" t="s">
        <v>100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97">
        <f>N14</f>
        <v>22305.51</v>
      </c>
      <c r="O16" s="76"/>
      <c r="P16" s="76"/>
      <c r="Q16" s="76"/>
      <c r="R16" s="76"/>
      <c r="S16" s="76"/>
    </row>
    <row r="17" spans="1:25" ht="25.5" customHeight="1" outlineLevel="1" x14ac:dyDescent="0.2">
      <c r="A17" s="165" t="s">
        <v>171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97">
        <v>4.66</v>
      </c>
      <c r="O17" s="76"/>
      <c r="P17" s="76"/>
      <c r="Q17" s="76"/>
      <c r="R17" s="76"/>
      <c r="S17" s="76"/>
    </row>
    <row r="18" spans="1:25" ht="12.75" customHeight="1" outlineLevel="1" x14ac:dyDescent="0.2">
      <c r="A18" s="165" t="s">
        <v>169</v>
      </c>
      <c r="B18" s="166"/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97">
        <f>N16*N17</f>
        <v>103943.67659999999</v>
      </c>
      <c r="O18" s="76"/>
      <c r="P18" s="76"/>
      <c r="Q18" s="76"/>
      <c r="R18" s="76"/>
      <c r="S18" s="76"/>
    </row>
    <row r="19" spans="1:25" ht="12.75" customHeight="1" x14ac:dyDescent="0.2">
      <c r="A19" s="163" t="s">
        <v>23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98">
        <f>N18</f>
        <v>103943.67659999999</v>
      </c>
      <c r="O19" s="76"/>
      <c r="P19" s="76"/>
      <c r="Q19" s="76"/>
      <c r="R19" s="76"/>
      <c r="S19" s="76"/>
      <c r="Y19" s="70"/>
    </row>
    <row r="20" spans="1:25" ht="12.75" customHeight="1" x14ac:dyDescent="0.2">
      <c r="A20" s="163" t="s">
        <v>17</v>
      </c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98">
        <f>N19*20%</f>
        <v>20788.73532</v>
      </c>
      <c r="O20" s="76"/>
      <c r="P20" s="76"/>
      <c r="Q20" s="76"/>
      <c r="R20" s="76"/>
      <c r="S20" s="76"/>
      <c r="Y20" s="70"/>
    </row>
    <row r="21" spans="1:25" ht="12.75" customHeight="1" x14ac:dyDescent="0.2">
      <c r="A21" s="163" t="s">
        <v>95</v>
      </c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98">
        <f>N19+N20</f>
        <v>124732.41191999998</v>
      </c>
      <c r="O21" s="76"/>
      <c r="P21" s="76"/>
      <c r="Q21" s="76"/>
      <c r="R21" s="76"/>
      <c r="S21" s="76"/>
      <c r="Y21" s="70"/>
    </row>
    <row r="22" spans="1:25" x14ac:dyDescent="0.2">
      <c r="C22" s="94"/>
    </row>
    <row r="25" spans="1:25" x14ac:dyDescent="0.2">
      <c r="C25" s="94"/>
    </row>
    <row r="27" spans="1:25" x14ac:dyDescent="0.2">
      <c r="A27" s="162"/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</row>
  </sheetData>
  <mergeCells count="13">
    <mergeCell ref="A1:N1"/>
    <mergeCell ref="A9:N9"/>
    <mergeCell ref="A12:N12"/>
    <mergeCell ref="A27:N27"/>
    <mergeCell ref="B3:N3"/>
    <mergeCell ref="A20:M20"/>
    <mergeCell ref="A21:M21"/>
    <mergeCell ref="A14:M14"/>
    <mergeCell ref="A15:M15"/>
    <mergeCell ref="A16:M16"/>
    <mergeCell ref="A17:M17"/>
    <mergeCell ref="A18:M18"/>
    <mergeCell ref="A19:M19"/>
  </mergeCells>
  <pageMargins left="0.78740157480314965" right="0.39370078740157483" top="0.39370078740157483" bottom="0.39370078740157483" header="0.23622047244094491" footer="0.23622047244094491"/>
  <pageSetup paperSize="9" scale="99" fitToHeight="30000" orientation="portrait" r:id="rId1"/>
  <headerFooter alignWithMargins="0">
    <oddHeader>&amp;LГРАНД-Смета</oddHeader>
    <oddFooter>&amp;R&amp;P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CheckBox1">
          <controlPr print="0" autoLine="0" r:id="rId5">
            <anchor moveWithCells="1">
              <from>
                <xdr:col>1</xdr:col>
                <xdr:colOff>19050</xdr:colOff>
                <xdr:row>6</xdr:row>
                <xdr:rowOff>847725</xdr:rowOff>
              </from>
              <to>
                <xdr:col>1</xdr:col>
                <xdr:colOff>1905000</xdr:colOff>
                <xdr:row>6</xdr:row>
                <xdr:rowOff>1095375</xdr:rowOff>
              </to>
            </anchor>
          </controlPr>
        </control>
      </mc:Choice>
      <mc:Fallback>
        <control shapeId="1025" r:id="rId4" name="CheckBox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7">
    <pageSetUpPr fitToPage="1"/>
  </sheetPr>
  <dimension ref="A1:Y35"/>
  <sheetViews>
    <sheetView showGridLines="0" zoomScale="85" zoomScaleNormal="85" workbookViewId="0">
      <selection activeCell="T6" sqref="T6"/>
    </sheetView>
  </sheetViews>
  <sheetFormatPr defaultRowHeight="12.75" outlineLevelRow="1" x14ac:dyDescent="0.2"/>
  <cols>
    <col min="1" max="1" width="5.7109375" style="68" customWidth="1"/>
    <col min="2" max="3" width="29.42578125" style="68" customWidth="1"/>
    <col min="4" max="4" width="16.85546875" style="68" customWidth="1"/>
    <col min="5" max="10" width="22.140625" style="68" hidden="1" customWidth="1"/>
    <col min="11" max="11" width="73.7109375" style="68" hidden="1" customWidth="1"/>
    <col min="12" max="13" width="15" style="68" hidden="1" customWidth="1"/>
    <col min="14" max="14" width="11.140625" style="68" customWidth="1"/>
    <col min="15" max="16" width="9.140625" style="68" customWidth="1"/>
    <col min="17" max="24" width="9.140625" style="68"/>
    <col min="25" max="25" width="56" style="69" customWidth="1"/>
    <col min="26" max="16384" width="9.140625" style="68"/>
  </cols>
  <sheetData>
    <row r="1" spans="1:25" ht="15.75" x14ac:dyDescent="0.25">
      <c r="A1" s="167" t="s">
        <v>141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25" ht="89.25" customHeight="1" x14ac:dyDescent="0.2">
      <c r="A2" s="158" t="s">
        <v>345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</row>
    <row r="4" spans="1:25" ht="28.5" customHeight="1" x14ac:dyDescent="0.2">
      <c r="B4" s="136" t="s">
        <v>151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Y4" s="68"/>
    </row>
    <row r="5" spans="1:25" s="100" customFormat="1" ht="19.5" customHeight="1" x14ac:dyDescent="0.2">
      <c r="A5" s="46" t="s">
        <v>66</v>
      </c>
      <c r="B5" s="99"/>
      <c r="D5" s="46"/>
      <c r="E5" s="46"/>
      <c r="F5" s="47"/>
      <c r="G5" s="101"/>
      <c r="H5" s="101"/>
      <c r="I5" s="101"/>
      <c r="J5" s="101"/>
      <c r="K5" s="101"/>
    </row>
    <row r="6" spans="1:25" ht="30.75" customHeight="1" x14ac:dyDescent="0.25">
      <c r="A6" s="5" t="s">
        <v>167</v>
      </c>
      <c r="B6" s="102"/>
      <c r="D6" s="5"/>
      <c r="E6" s="5"/>
      <c r="F6" s="9"/>
      <c r="G6" s="9"/>
      <c r="H6" s="9"/>
      <c r="I6" s="103"/>
      <c r="Y6" s="68"/>
    </row>
    <row r="7" spans="1:25" x14ac:dyDescent="0.2"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</row>
    <row r="8" spans="1:25" s="74" customFormat="1" ht="100.5" customHeight="1" x14ac:dyDescent="0.2">
      <c r="A8" s="73" t="s">
        <v>69</v>
      </c>
      <c r="B8" s="73" t="s">
        <v>70</v>
      </c>
      <c r="C8" s="73" t="s">
        <v>71</v>
      </c>
      <c r="D8" s="73" t="s">
        <v>72</v>
      </c>
      <c r="E8" s="73"/>
      <c r="F8" s="73"/>
      <c r="G8" s="73"/>
      <c r="H8" s="73"/>
      <c r="I8" s="73"/>
      <c r="J8" s="73"/>
      <c r="K8" s="73"/>
      <c r="L8" s="73"/>
      <c r="M8" s="73"/>
      <c r="N8" s="73" t="s">
        <v>99</v>
      </c>
    </row>
    <row r="9" spans="1:25" x14ac:dyDescent="0.2">
      <c r="A9" s="75">
        <v>1</v>
      </c>
      <c r="B9" s="75">
        <v>2</v>
      </c>
      <c r="C9" s="75">
        <v>3</v>
      </c>
      <c r="D9" s="75">
        <v>4</v>
      </c>
      <c r="E9" s="75"/>
      <c r="F9" s="75"/>
      <c r="G9" s="75"/>
      <c r="H9" s="75"/>
      <c r="I9" s="75"/>
      <c r="J9" s="75"/>
      <c r="K9" s="75"/>
      <c r="L9" s="75"/>
      <c r="M9" s="75"/>
      <c r="N9" s="75">
        <v>5</v>
      </c>
    </row>
    <row r="10" spans="1:25" s="76" customFormat="1" ht="15" customHeight="1" x14ac:dyDescent="0.2">
      <c r="A10" s="168" t="s">
        <v>140</v>
      </c>
      <c r="B10" s="169"/>
      <c r="C10" s="169"/>
      <c r="D10" s="169"/>
      <c r="E10" s="105"/>
      <c r="F10" s="105"/>
      <c r="G10" s="105"/>
      <c r="H10" s="105"/>
      <c r="I10" s="105"/>
      <c r="J10" s="105"/>
      <c r="K10" s="105"/>
      <c r="L10" s="105"/>
      <c r="M10" s="105"/>
      <c r="N10" s="106">
        <f>SUM(N11:N13)</f>
        <v>398.15000000000003</v>
      </c>
      <c r="Y10" s="77"/>
    </row>
    <row r="11" spans="1:25" s="84" customFormat="1" ht="180.75" x14ac:dyDescent="0.2">
      <c r="A11" s="78"/>
      <c r="B11" s="79" t="s">
        <v>139</v>
      </c>
      <c r="C11" s="80" t="s">
        <v>142</v>
      </c>
      <c r="D11" s="81" t="s">
        <v>138</v>
      </c>
      <c r="E11" s="82">
        <v>25</v>
      </c>
      <c r="F11" s="82" t="s">
        <v>137</v>
      </c>
      <c r="G11" s="82" t="s">
        <v>128</v>
      </c>
      <c r="H11" s="82"/>
      <c r="I11" s="82"/>
      <c r="J11" s="82" t="s">
        <v>78</v>
      </c>
      <c r="K11" s="82" t="s">
        <v>127</v>
      </c>
      <c r="L11" s="82">
        <v>1</v>
      </c>
      <c r="M11" s="82" t="s">
        <v>136</v>
      </c>
      <c r="N11" s="83">
        <f>0.18125*1000</f>
        <v>181.25</v>
      </c>
      <c r="O11" s="76"/>
      <c r="P11" s="76"/>
      <c r="Q11" s="76"/>
      <c r="R11" s="76"/>
      <c r="S11" s="76"/>
      <c r="Y11" s="76"/>
    </row>
    <row r="12" spans="1:25" ht="180.75" x14ac:dyDescent="0.2">
      <c r="A12" s="78">
        <v>2</v>
      </c>
      <c r="B12" s="79" t="s">
        <v>135</v>
      </c>
      <c r="C12" s="80" t="s">
        <v>143</v>
      </c>
      <c r="D12" s="81" t="s">
        <v>134</v>
      </c>
      <c r="E12" s="82">
        <v>5</v>
      </c>
      <c r="F12" s="82" t="s">
        <v>133</v>
      </c>
      <c r="G12" s="82" t="s">
        <v>128</v>
      </c>
      <c r="H12" s="82"/>
      <c r="I12" s="82"/>
      <c r="J12" s="82" t="s">
        <v>78</v>
      </c>
      <c r="K12" s="82" t="s">
        <v>127</v>
      </c>
      <c r="L12" s="82">
        <v>1</v>
      </c>
      <c r="M12" s="82" t="s">
        <v>132</v>
      </c>
      <c r="N12" s="83">
        <f>0.16285*1000</f>
        <v>162.85</v>
      </c>
      <c r="O12" s="76"/>
      <c r="P12" s="76"/>
      <c r="Q12" s="76"/>
      <c r="R12" s="76"/>
      <c r="S12" s="76"/>
    </row>
    <row r="13" spans="1:25" ht="180.75" x14ac:dyDescent="0.2">
      <c r="A13" s="85">
        <v>3</v>
      </c>
      <c r="B13" s="86" t="s">
        <v>131</v>
      </c>
      <c r="C13" s="87" t="s">
        <v>144</v>
      </c>
      <c r="D13" s="88" t="s">
        <v>130</v>
      </c>
      <c r="E13" s="89">
        <v>5</v>
      </c>
      <c r="F13" s="89" t="s">
        <v>129</v>
      </c>
      <c r="G13" s="89" t="s">
        <v>128</v>
      </c>
      <c r="H13" s="89"/>
      <c r="I13" s="89"/>
      <c r="J13" s="89" t="s">
        <v>78</v>
      </c>
      <c r="K13" s="89" t="s">
        <v>127</v>
      </c>
      <c r="L13" s="89">
        <v>1</v>
      </c>
      <c r="M13" s="89" t="s">
        <v>118</v>
      </c>
      <c r="N13" s="90">
        <f>0.05405*1000</f>
        <v>54.050000000000004</v>
      </c>
      <c r="O13" s="76"/>
      <c r="P13" s="76"/>
      <c r="Q13" s="76"/>
      <c r="R13" s="76"/>
      <c r="S13" s="76"/>
    </row>
    <row r="14" spans="1:25" ht="15" customHeight="1" x14ac:dyDescent="0.2">
      <c r="A14" s="168" t="s">
        <v>126</v>
      </c>
      <c r="B14" s="169"/>
      <c r="C14" s="169"/>
      <c r="D14" s="169"/>
      <c r="E14" s="105"/>
      <c r="F14" s="105"/>
      <c r="G14" s="105"/>
      <c r="H14" s="105"/>
      <c r="I14" s="105"/>
      <c r="J14" s="105"/>
      <c r="K14" s="105"/>
      <c r="L14" s="105"/>
      <c r="M14" s="105"/>
      <c r="N14" s="106">
        <f>SUM(N15:N20)</f>
        <v>1123.27</v>
      </c>
      <c r="O14" s="76"/>
      <c r="P14" s="76"/>
      <c r="Q14" s="76"/>
      <c r="R14" s="76"/>
      <c r="S14" s="76"/>
      <c r="Y14" s="91"/>
    </row>
    <row r="15" spans="1:25" ht="63.75" x14ac:dyDescent="0.2">
      <c r="A15" s="78">
        <v>4</v>
      </c>
      <c r="B15" s="79" t="s">
        <v>125</v>
      </c>
      <c r="C15" s="80" t="s">
        <v>145</v>
      </c>
      <c r="D15" s="81" t="s">
        <v>124</v>
      </c>
      <c r="E15" s="82">
        <v>5</v>
      </c>
      <c r="F15" s="82" t="s">
        <v>123</v>
      </c>
      <c r="G15" s="82"/>
      <c r="H15" s="82"/>
      <c r="I15" s="82"/>
      <c r="J15" s="82" t="s">
        <v>78</v>
      </c>
      <c r="K15" s="82"/>
      <c r="L15" s="82">
        <v>2</v>
      </c>
      <c r="M15" s="82" t="s">
        <v>122</v>
      </c>
      <c r="N15" s="83">
        <f>0.3405*1000</f>
        <v>340.5</v>
      </c>
      <c r="O15" s="76"/>
      <c r="P15" s="76"/>
      <c r="Q15" s="76"/>
      <c r="R15" s="76"/>
      <c r="S15" s="76"/>
    </row>
    <row r="16" spans="1:25" ht="38.25" x14ac:dyDescent="0.2">
      <c r="A16" s="78">
        <v>5</v>
      </c>
      <c r="B16" s="79" t="s">
        <v>121</v>
      </c>
      <c r="C16" s="80" t="s">
        <v>146</v>
      </c>
      <c r="D16" s="81" t="s">
        <v>120</v>
      </c>
      <c r="E16" s="82">
        <v>5</v>
      </c>
      <c r="F16" s="82" t="s">
        <v>119</v>
      </c>
      <c r="G16" s="82"/>
      <c r="H16" s="82"/>
      <c r="I16" s="82"/>
      <c r="J16" s="82" t="s">
        <v>78</v>
      </c>
      <c r="K16" s="82"/>
      <c r="L16" s="82">
        <v>2</v>
      </c>
      <c r="M16" s="82" t="s">
        <v>118</v>
      </c>
      <c r="N16" s="83">
        <f>0.3365*1000</f>
        <v>336.5</v>
      </c>
      <c r="O16" s="76"/>
      <c r="P16" s="76"/>
      <c r="Q16" s="76"/>
      <c r="R16" s="76"/>
      <c r="S16" s="76"/>
    </row>
    <row r="17" spans="1:25" ht="76.5" x14ac:dyDescent="0.2">
      <c r="A17" s="78">
        <v>6</v>
      </c>
      <c r="B17" s="79" t="s">
        <v>117</v>
      </c>
      <c r="C17" s="80" t="s">
        <v>147</v>
      </c>
      <c r="D17" s="81" t="s">
        <v>116</v>
      </c>
      <c r="E17" s="82">
        <v>25</v>
      </c>
      <c r="F17" s="82" t="s">
        <v>115</v>
      </c>
      <c r="G17" s="82"/>
      <c r="H17" s="82"/>
      <c r="I17" s="82"/>
      <c r="J17" s="82" t="s">
        <v>78</v>
      </c>
      <c r="K17" s="82"/>
      <c r="L17" s="82">
        <v>2</v>
      </c>
      <c r="M17" s="82" t="s">
        <v>114</v>
      </c>
      <c r="N17" s="83">
        <f>0.175*1000</f>
        <v>175</v>
      </c>
      <c r="O17" s="76"/>
      <c r="P17" s="76"/>
      <c r="Q17" s="76"/>
      <c r="R17" s="76"/>
      <c r="S17" s="76"/>
    </row>
    <row r="18" spans="1:25" ht="89.25" x14ac:dyDescent="0.2">
      <c r="A18" s="78">
        <v>7</v>
      </c>
      <c r="B18" s="79" t="s">
        <v>113</v>
      </c>
      <c r="C18" s="80" t="s">
        <v>148</v>
      </c>
      <c r="D18" s="81" t="s">
        <v>112</v>
      </c>
      <c r="E18" s="82">
        <v>1</v>
      </c>
      <c r="F18" s="82" t="s">
        <v>111</v>
      </c>
      <c r="G18" s="82"/>
      <c r="H18" s="82"/>
      <c r="I18" s="82"/>
      <c r="J18" s="82" t="s">
        <v>78</v>
      </c>
      <c r="K18" s="82"/>
      <c r="L18" s="82">
        <v>2</v>
      </c>
      <c r="M18" s="82"/>
      <c r="N18" s="83">
        <f>0.1354*1000</f>
        <v>135.4</v>
      </c>
      <c r="O18" s="76"/>
      <c r="P18" s="76"/>
      <c r="Q18" s="76"/>
      <c r="R18" s="76"/>
      <c r="S18" s="76"/>
    </row>
    <row r="19" spans="1:25" ht="114.75" x14ac:dyDescent="0.2">
      <c r="A19" s="78">
        <v>8</v>
      </c>
      <c r="B19" s="79" t="s">
        <v>110</v>
      </c>
      <c r="C19" s="80" t="s">
        <v>149</v>
      </c>
      <c r="D19" s="81" t="s">
        <v>109</v>
      </c>
      <c r="E19" s="82">
        <v>1</v>
      </c>
      <c r="F19" s="82" t="s">
        <v>108</v>
      </c>
      <c r="G19" s="82"/>
      <c r="H19" s="82"/>
      <c r="I19" s="82"/>
      <c r="J19" s="82" t="s">
        <v>78</v>
      </c>
      <c r="K19" s="82"/>
      <c r="L19" s="82">
        <v>2</v>
      </c>
      <c r="M19" s="82" t="s">
        <v>107</v>
      </c>
      <c r="N19" s="83">
        <f>0.05587*1000</f>
        <v>55.870000000000005</v>
      </c>
      <c r="O19" s="76"/>
      <c r="P19" s="76"/>
      <c r="Q19" s="76"/>
      <c r="R19" s="76"/>
      <c r="S19" s="76"/>
    </row>
    <row r="20" spans="1:25" ht="76.5" x14ac:dyDescent="0.2">
      <c r="A20" s="85">
        <v>9</v>
      </c>
      <c r="B20" s="86" t="s">
        <v>106</v>
      </c>
      <c r="C20" s="87" t="s">
        <v>150</v>
      </c>
      <c r="D20" s="88" t="s">
        <v>105</v>
      </c>
      <c r="E20" s="89">
        <v>1</v>
      </c>
      <c r="F20" s="89" t="s">
        <v>104</v>
      </c>
      <c r="G20" s="89"/>
      <c r="H20" s="89"/>
      <c r="I20" s="89"/>
      <c r="J20" s="89" t="s">
        <v>78</v>
      </c>
      <c r="K20" s="89"/>
      <c r="L20" s="89">
        <v>2</v>
      </c>
      <c r="M20" s="89" t="s">
        <v>92</v>
      </c>
      <c r="N20" s="90">
        <f>0.08*1000</f>
        <v>80</v>
      </c>
      <c r="O20" s="76"/>
      <c r="P20" s="76"/>
      <c r="Q20" s="76"/>
      <c r="R20" s="76"/>
      <c r="S20" s="76"/>
    </row>
    <row r="21" spans="1:25" ht="12.75" customHeight="1" x14ac:dyDescent="0.2">
      <c r="A21" s="165" t="s">
        <v>93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6"/>
      <c r="L21" s="166"/>
      <c r="M21" s="166"/>
      <c r="N21" s="92">
        <f>N10+N14</f>
        <v>1521.42</v>
      </c>
      <c r="O21" s="76"/>
      <c r="P21" s="76"/>
      <c r="Q21" s="76"/>
      <c r="R21" s="76"/>
      <c r="S21" s="76"/>
    </row>
    <row r="22" spans="1:25" ht="12.75" customHeight="1" outlineLevel="1" x14ac:dyDescent="0.2">
      <c r="A22" s="163" t="s">
        <v>94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93"/>
      <c r="O22" s="76"/>
      <c r="P22" s="76"/>
      <c r="Q22" s="76"/>
      <c r="R22" s="76"/>
      <c r="S22" s="76"/>
      <c r="Y22" s="70"/>
    </row>
    <row r="23" spans="1:25" ht="12.75" customHeight="1" outlineLevel="1" x14ac:dyDescent="0.2">
      <c r="A23" s="165" t="s">
        <v>103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92">
        <f>N21</f>
        <v>1521.42</v>
      </c>
      <c r="O23" s="76"/>
      <c r="P23" s="76"/>
      <c r="Q23" s="76"/>
      <c r="R23" s="76"/>
      <c r="S23" s="76"/>
    </row>
    <row r="24" spans="1:25" ht="25.5" customHeight="1" outlineLevel="1" x14ac:dyDescent="0.2">
      <c r="A24" s="165" t="s">
        <v>170</v>
      </c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97">
        <v>52.94</v>
      </c>
      <c r="O24" s="76"/>
      <c r="P24" s="76"/>
      <c r="Q24" s="76"/>
      <c r="R24" s="76"/>
      <c r="S24" s="76"/>
    </row>
    <row r="25" spans="1:25" ht="12.75" customHeight="1" outlineLevel="1" x14ac:dyDescent="0.2">
      <c r="A25" s="165" t="s">
        <v>169</v>
      </c>
      <c r="B25" s="166"/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97">
        <f>N23*N24</f>
        <v>80543.974799999996</v>
      </c>
      <c r="O25" s="76"/>
      <c r="P25" s="76"/>
      <c r="Q25" s="76"/>
      <c r="R25" s="76"/>
      <c r="S25" s="76"/>
    </row>
    <row r="26" spans="1:25" ht="12.75" customHeight="1" x14ac:dyDescent="0.2">
      <c r="A26" s="163" t="s">
        <v>23</v>
      </c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98">
        <f>N25</f>
        <v>80543.974799999996</v>
      </c>
      <c r="O26" s="76"/>
      <c r="P26" s="76"/>
      <c r="Q26" s="76"/>
      <c r="R26" s="76"/>
      <c r="S26" s="76"/>
      <c r="Y26" s="70"/>
    </row>
    <row r="27" spans="1:25" ht="12.75" customHeight="1" x14ac:dyDescent="0.2">
      <c r="A27" s="163" t="s">
        <v>17</v>
      </c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98">
        <f>N26*20%</f>
        <v>16108.794959999999</v>
      </c>
      <c r="O27" s="76"/>
      <c r="P27" s="76"/>
      <c r="Q27" s="76"/>
      <c r="R27" s="76"/>
      <c r="S27" s="76"/>
      <c r="Y27" s="70"/>
    </row>
    <row r="28" spans="1:25" ht="12.75" customHeight="1" x14ac:dyDescent="0.2">
      <c r="A28" s="163" t="s">
        <v>95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98">
        <f>N26+N27</f>
        <v>96652.769759999996</v>
      </c>
      <c r="O28" s="76"/>
      <c r="P28" s="76"/>
      <c r="Q28" s="76"/>
      <c r="R28" s="76"/>
      <c r="S28" s="76"/>
      <c r="Y28" s="70"/>
    </row>
    <row r="30" spans="1:25" x14ac:dyDescent="0.2">
      <c r="C30" s="94"/>
    </row>
    <row r="33" spans="1:14" x14ac:dyDescent="0.2">
      <c r="C33" s="94"/>
    </row>
    <row r="35" spans="1:14" x14ac:dyDescent="0.2">
      <c r="A35" s="162"/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  <c r="N35" s="162"/>
    </row>
  </sheetData>
  <mergeCells count="14">
    <mergeCell ref="A1:N1"/>
    <mergeCell ref="A2:N2"/>
    <mergeCell ref="B4:N4"/>
    <mergeCell ref="A10:D10"/>
    <mergeCell ref="A14:D14"/>
    <mergeCell ref="A35:N35"/>
    <mergeCell ref="A21:M21"/>
    <mergeCell ref="A22:M22"/>
    <mergeCell ref="A23:M23"/>
    <mergeCell ref="A24:M24"/>
    <mergeCell ref="A25:M25"/>
    <mergeCell ref="A26:M26"/>
    <mergeCell ref="A27:M27"/>
    <mergeCell ref="A28:M28"/>
  </mergeCells>
  <pageMargins left="0.78740157480314965" right="0.39370078740157483" top="0.39370078740157483" bottom="0.39370078740157483" header="0.23622047244094491" footer="0.23622047244094491"/>
  <pageSetup paperSize="9" scale="99" fitToHeight="30000" orientation="portrait" r:id="rId1"/>
  <headerFooter alignWithMargins="0">
    <oddHeader>&amp;LГРАНД-Смета</oddHeader>
    <oddFooter>&amp;R&amp;P</oddFooter>
  </headerFooter>
  <drawing r:id="rId2"/>
  <legacyDrawing r:id="rId3"/>
  <controls>
    <mc:AlternateContent xmlns:mc="http://schemas.openxmlformats.org/markup-compatibility/2006">
      <mc:Choice Requires="x14">
        <control shapeId="5144" r:id="rId4" name="CheckBox1">
          <controlPr print="0" autoLine="0" r:id="rId5">
            <anchor moveWithCells="1">
              <from>
                <xdr:col>1</xdr:col>
                <xdr:colOff>19050</xdr:colOff>
                <xdr:row>7</xdr:row>
                <xdr:rowOff>847725</xdr:rowOff>
              </from>
              <to>
                <xdr:col>1</xdr:col>
                <xdr:colOff>1905000</xdr:colOff>
                <xdr:row>7</xdr:row>
                <xdr:rowOff>1095375</xdr:rowOff>
              </to>
            </anchor>
          </controlPr>
        </control>
      </mc:Choice>
      <mc:Fallback>
        <control shapeId="5144" r:id="rId4" name="CheckBox1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view="pageBreakPreview" topLeftCell="B1" zoomScaleSheetLayoutView="100" workbookViewId="0">
      <selection activeCell="G7" sqref="G7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8.57031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19"/>
    </row>
    <row r="2" spans="2:11" ht="9.75" customHeight="1" x14ac:dyDescent="0.2">
      <c r="B2" s="176" t="s">
        <v>345</v>
      </c>
      <c r="C2" s="176"/>
      <c r="D2" s="176"/>
      <c r="E2" s="176"/>
      <c r="F2" s="176"/>
    </row>
    <row r="3" spans="2:11" s="3" customFormat="1" ht="13.5" customHeight="1" x14ac:dyDescent="0.25">
      <c r="B3" s="176"/>
      <c r="C3" s="176"/>
      <c r="D3" s="176"/>
      <c r="E3" s="176"/>
      <c r="F3" s="176"/>
      <c r="G3" s="1"/>
      <c r="H3" s="1"/>
      <c r="I3" s="1"/>
      <c r="J3" s="1"/>
      <c r="K3" s="1"/>
    </row>
    <row r="4" spans="2:11" s="3" customFormat="1" ht="51.75" customHeight="1" x14ac:dyDescent="0.25">
      <c r="B4" s="176"/>
      <c r="C4" s="176"/>
      <c r="D4" s="176"/>
      <c r="E4" s="176"/>
      <c r="F4" s="176"/>
      <c r="G4" s="1"/>
      <c r="H4" s="1"/>
      <c r="I4" s="1"/>
      <c r="J4" s="1"/>
      <c r="K4" s="1"/>
    </row>
    <row r="5" spans="2:11" s="3" customFormat="1" ht="28.5" customHeight="1" x14ac:dyDescent="0.25">
      <c r="B5" s="20"/>
      <c r="C5" s="21"/>
      <c r="D5" s="54" t="s">
        <v>153</v>
      </c>
      <c r="E5" s="21"/>
      <c r="F5" s="22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4" customFormat="1" ht="25.5" customHeight="1" x14ac:dyDescent="0.2">
      <c r="B7" s="45"/>
      <c r="C7" s="46" t="s">
        <v>66</v>
      </c>
      <c r="D7" s="46"/>
      <c r="E7" s="46"/>
      <c r="F7" s="47"/>
      <c r="G7" s="48"/>
      <c r="H7" s="48"/>
      <c r="I7" s="48"/>
      <c r="J7" s="48"/>
      <c r="K7" s="48"/>
    </row>
    <row r="8" spans="2:11" s="3" customFormat="1" ht="24" customHeight="1" x14ac:dyDescent="0.25">
      <c r="B8" s="12"/>
      <c r="C8" s="5" t="s">
        <v>167</v>
      </c>
      <c r="D8" s="5"/>
      <c r="E8" s="5"/>
      <c r="F8" s="9"/>
      <c r="G8" s="9"/>
      <c r="H8" s="9"/>
      <c r="I8" s="4"/>
    </row>
    <row r="9" spans="2:11" ht="51.75" thickBot="1" x14ac:dyDescent="0.25">
      <c r="B9" s="15" t="s">
        <v>0</v>
      </c>
      <c r="C9" s="59" t="s">
        <v>30</v>
      </c>
      <c r="D9" s="59" t="s">
        <v>29</v>
      </c>
      <c r="E9" s="59" t="s">
        <v>12</v>
      </c>
      <c r="F9" s="16" t="s">
        <v>62</v>
      </c>
    </row>
    <row r="10" spans="2:11" ht="26.25" customHeight="1" thickBot="1" x14ac:dyDescent="0.25">
      <c r="B10" s="23">
        <v>1</v>
      </c>
      <c r="C10" s="150" t="s">
        <v>27</v>
      </c>
      <c r="D10" s="151"/>
      <c r="E10" s="151"/>
      <c r="F10" s="24">
        <f>F12</f>
        <v>2083.9</v>
      </c>
    </row>
    <row r="11" spans="2:11" ht="24" customHeight="1" x14ac:dyDescent="0.2">
      <c r="B11" s="152" t="s">
        <v>13</v>
      </c>
      <c r="C11" s="154" t="s">
        <v>33</v>
      </c>
      <c r="D11" s="170" t="s">
        <v>44</v>
      </c>
      <c r="E11" s="171"/>
      <c r="F11" s="25"/>
    </row>
    <row r="12" spans="2:11" ht="30" customHeight="1" thickBot="1" x14ac:dyDescent="0.25">
      <c r="B12" s="153"/>
      <c r="C12" s="155"/>
      <c r="D12" s="26" t="s">
        <v>31</v>
      </c>
      <c r="E12" s="52" t="s">
        <v>63</v>
      </c>
      <c r="F12" s="27">
        <f>2.29*0.91*1000</f>
        <v>2083.9</v>
      </c>
    </row>
    <row r="13" spans="2:11" ht="26.25" customHeight="1" thickBot="1" x14ac:dyDescent="0.25">
      <c r="B13" s="23" t="s">
        <v>9</v>
      </c>
      <c r="C13" s="150" t="s">
        <v>101</v>
      </c>
      <c r="D13" s="151"/>
      <c r="E13" s="151"/>
      <c r="F13" s="24">
        <f>F15</f>
        <v>178640</v>
      </c>
    </row>
    <row r="14" spans="2:11" ht="24" customHeight="1" x14ac:dyDescent="0.2">
      <c r="B14" s="152" t="s">
        <v>15</v>
      </c>
      <c r="C14" s="154" t="s">
        <v>43</v>
      </c>
      <c r="D14" s="170" t="s">
        <v>28</v>
      </c>
      <c r="E14" s="171"/>
      <c r="F14" s="25"/>
    </row>
    <row r="15" spans="2:11" ht="30" customHeight="1" thickBot="1" x14ac:dyDescent="0.25">
      <c r="B15" s="153"/>
      <c r="C15" s="155"/>
      <c r="D15" s="26" t="s">
        <v>67</v>
      </c>
      <c r="E15" s="52" t="s">
        <v>68</v>
      </c>
      <c r="F15" s="27">
        <f>1160*0.44*0.35*1*1000</f>
        <v>178640</v>
      </c>
    </row>
    <row r="16" spans="2:11" ht="26.25" customHeight="1" thickBot="1" x14ac:dyDescent="0.25">
      <c r="B16" s="23" t="s">
        <v>18</v>
      </c>
      <c r="C16" s="150" t="s">
        <v>26</v>
      </c>
      <c r="D16" s="151"/>
      <c r="E16" s="151"/>
      <c r="F16" s="24">
        <f>F18+F20+F22+F24+F26</f>
        <v>178623</v>
      </c>
    </row>
    <row r="17" spans="2:6" ht="24" customHeight="1" x14ac:dyDescent="0.2">
      <c r="B17" s="152" t="s">
        <v>38</v>
      </c>
      <c r="C17" s="154" t="s">
        <v>32</v>
      </c>
      <c r="D17" s="170" t="s">
        <v>28</v>
      </c>
      <c r="E17" s="171"/>
      <c r="F17" s="25"/>
    </row>
    <row r="18" spans="2:6" ht="30" customHeight="1" thickBot="1" x14ac:dyDescent="0.25">
      <c r="B18" s="153"/>
      <c r="C18" s="155"/>
      <c r="D18" s="26" t="s">
        <v>157</v>
      </c>
      <c r="E18" s="52" t="s">
        <v>156</v>
      </c>
      <c r="F18" s="27">
        <f>450*0.3*1.8*1*0.5*1000</f>
        <v>121500</v>
      </c>
    </row>
    <row r="19" spans="2:6" ht="24" customHeight="1" x14ac:dyDescent="0.2">
      <c r="B19" s="152" t="s">
        <v>39</v>
      </c>
      <c r="C19" s="154" t="s">
        <v>34</v>
      </c>
      <c r="D19" s="170" t="s">
        <v>28</v>
      </c>
      <c r="E19" s="171"/>
      <c r="F19" s="25"/>
    </row>
    <row r="20" spans="2:6" ht="30" customHeight="1" thickBot="1" x14ac:dyDescent="0.25">
      <c r="B20" s="153"/>
      <c r="C20" s="155"/>
      <c r="D20" s="26" t="s">
        <v>159</v>
      </c>
      <c r="E20" s="52" t="s">
        <v>158</v>
      </c>
      <c r="F20" s="27">
        <f>192.6*0.85*1*0.5*100</f>
        <v>8185.4999999999991</v>
      </c>
    </row>
    <row r="21" spans="2:6" ht="24" customHeight="1" x14ac:dyDescent="0.2">
      <c r="B21" s="152" t="s">
        <v>40</v>
      </c>
      <c r="C21" s="154" t="s">
        <v>35</v>
      </c>
      <c r="D21" s="170" t="s">
        <v>28</v>
      </c>
      <c r="E21" s="171"/>
      <c r="F21" s="25"/>
    </row>
    <row r="22" spans="2:6" ht="30" customHeight="1" thickBot="1" x14ac:dyDescent="0.25">
      <c r="B22" s="153"/>
      <c r="C22" s="155"/>
      <c r="D22" s="26" t="s">
        <v>161</v>
      </c>
      <c r="E22" s="52" t="s">
        <v>160</v>
      </c>
      <c r="F22" s="27">
        <f>25.9*0.85*1*0.5*1000</f>
        <v>11007.499999999998</v>
      </c>
    </row>
    <row r="23" spans="2:6" ht="24" customHeight="1" x14ac:dyDescent="0.2">
      <c r="B23" s="152" t="s">
        <v>41</v>
      </c>
      <c r="C23" s="154" t="s">
        <v>36</v>
      </c>
      <c r="D23" s="170" t="s">
        <v>28</v>
      </c>
      <c r="E23" s="171"/>
      <c r="F23" s="25"/>
    </row>
    <row r="24" spans="2:6" ht="30" customHeight="1" thickBot="1" x14ac:dyDescent="0.25">
      <c r="B24" s="153"/>
      <c r="C24" s="155"/>
      <c r="D24" s="26" t="s">
        <v>163</v>
      </c>
      <c r="E24" s="52" t="s">
        <v>162</v>
      </c>
      <c r="F24" s="27">
        <f>55*1*0.5*1000</f>
        <v>27500</v>
      </c>
    </row>
    <row r="25" spans="2:6" ht="24" customHeight="1" x14ac:dyDescent="0.2">
      <c r="B25" s="152" t="s">
        <v>42</v>
      </c>
      <c r="C25" s="154" t="s">
        <v>37</v>
      </c>
      <c r="D25" s="170" t="s">
        <v>28</v>
      </c>
      <c r="E25" s="171"/>
      <c r="F25" s="25"/>
    </row>
    <row r="26" spans="2:6" ht="30" customHeight="1" thickBot="1" x14ac:dyDescent="0.25">
      <c r="B26" s="153"/>
      <c r="C26" s="155"/>
      <c r="D26" s="62" t="s">
        <v>165</v>
      </c>
      <c r="E26" s="59" t="s">
        <v>164</v>
      </c>
      <c r="F26" s="63">
        <f>(18.08+2.78)*0.5*1*1000</f>
        <v>10430</v>
      </c>
    </row>
    <row r="27" spans="2:6" ht="26.25" customHeight="1" thickBot="1" x14ac:dyDescent="0.25">
      <c r="B27" s="23" t="s">
        <v>59</v>
      </c>
      <c r="C27" s="150" t="s">
        <v>65</v>
      </c>
      <c r="D27" s="151"/>
      <c r="E27" s="151"/>
      <c r="F27" s="24">
        <f>F29</f>
        <v>5010</v>
      </c>
    </row>
    <row r="28" spans="2:6" ht="24" customHeight="1" x14ac:dyDescent="0.2">
      <c r="B28" s="152" t="s">
        <v>60</v>
      </c>
      <c r="C28" s="154" t="s">
        <v>58</v>
      </c>
      <c r="D28" s="170" t="s">
        <v>28</v>
      </c>
      <c r="E28" s="171"/>
      <c r="F28" s="25"/>
    </row>
    <row r="29" spans="2:6" ht="30" customHeight="1" x14ac:dyDescent="0.2">
      <c r="B29" s="153"/>
      <c r="C29" s="155"/>
      <c r="D29" s="26" t="s">
        <v>61</v>
      </c>
      <c r="E29" s="67" t="s">
        <v>64</v>
      </c>
      <c r="F29" s="27">
        <f>(2.76+0.58)*1*1*1.5*1000</f>
        <v>5010</v>
      </c>
    </row>
    <row r="30" spans="2:6" ht="30" customHeight="1" x14ac:dyDescent="0.2">
      <c r="B30" s="53"/>
      <c r="C30" s="149" t="s">
        <v>45</v>
      </c>
      <c r="D30" s="149"/>
      <c r="E30" s="149"/>
      <c r="F30" s="65">
        <f>F10+F13+F16+F27</f>
        <v>364356.9</v>
      </c>
    </row>
    <row r="31" spans="2:6" ht="40.5" customHeight="1" x14ac:dyDescent="0.2">
      <c r="B31" s="53"/>
      <c r="C31" s="172" t="s">
        <v>168</v>
      </c>
      <c r="D31" s="172"/>
      <c r="E31" s="107">
        <v>4.59</v>
      </c>
      <c r="F31" s="66"/>
    </row>
    <row r="32" spans="2:6" ht="30" customHeight="1" x14ac:dyDescent="0.2">
      <c r="B32" s="53"/>
      <c r="C32" s="149" t="s">
        <v>169</v>
      </c>
      <c r="D32" s="149"/>
      <c r="E32" s="149"/>
      <c r="F32" s="65">
        <f>F30*E31</f>
        <v>1672398.1710000001</v>
      </c>
    </row>
    <row r="33" spans="2:7" ht="19.5" customHeight="1" x14ac:dyDescent="0.2">
      <c r="B33" s="34"/>
      <c r="C33" s="173" t="s">
        <v>23</v>
      </c>
      <c r="D33" s="173"/>
      <c r="E33" s="64"/>
      <c r="F33" s="50">
        <f>F32</f>
        <v>1672398.1710000001</v>
      </c>
    </row>
    <row r="34" spans="2:7" ht="15.75" x14ac:dyDescent="0.2">
      <c r="B34" s="31"/>
      <c r="C34" s="174" t="s">
        <v>17</v>
      </c>
      <c r="D34" s="175"/>
      <c r="E34" s="37"/>
      <c r="F34" s="50">
        <f>F33*0.2</f>
        <v>334479.63420000003</v>
      </c>
    </row>
    <row r="35" spans="2:7" ht="16.5" thickBot="1" x14ac:dyDescent="0.25">
      <c r="B35" s="32"/>
      <c r="C35" s="147" t="s">
        <v>16</v>
      </c>
      <c r="D35" s="148"/>
      <c r="E35" s="38"/>
      <c r="F35" s="51">
        <f>F33+F34</f>
        <v>2006877.8052000001</v>
      </c>
    </row>
    <row r="36" spans="2:7" x14ac:dyDescent="0.2">
      <c r="B36" s="13"/>
      <c r="C36" s="2"/>
      <c r="D36" s="7"/>
      <c r="E36" s="2"/>
      <c r="F36" s="10"/>
    </row>
    <row r="37" spans="2:7" ht="14.25" customHeight="1" x14ac:dyDescent="0.25">
      <c r="B37" s="1"/>
      <c r="D37" s="133"/>
      <c r="E37" s="133"/>
      <c r="F37" s="33"/>
    </row>
    <row r="38" spans="2:7" s="39" customFormat="1" ht="32.25" customHeight="1" x14ac:dyDescent="0.2">
      <c r="B38" s="39" t="s">
        <v>22</v>
      </c>
      <c r="C38" s="40"/>
      <c r="D38" s="41"/>
      <c r="E38" s="42"/>
      <c r="F38" s="43"/>
      <c r="G38" s="43"/>
    </row>
    <row r="39" spans="2:7" ht="13.5" customHeight="1" x14ac:dyDescent="0.25">
      <c r="B39" s="1"/>
      <c r="C39" s="17"/>
      <c r="D39" s="134"/>
      <c r="E39" s="134"/>
      <c r="F39" s="1"/>
    </row>
    <row r="40" spans="2:7" x14ac:dyDescent="0.2">
      <c r="D40" s="8"/>
    </row>
    <row r="41" spans="2:7" x14ac:dyDescent="0.2">
      <c r="D41" s="8"/>
    </row>
  </sheetData>
  <mergeCells count="37">
    <mergeCell ref="B2:F4"/>
    <mergeCell ref="C10:E10"/>
    <mergeCell ref="B11:B12"/>
    <mergeCell ref="C11:C12"/>
    <mergeCell ref="D11:E11"/>
    <mergeCell ref="C35:D35"/>
    <mergeCell ref="D37:E37"/>
    <mergeCell ref="D39:E39"/>
    <mergeCell ref="C16:E16"/>
    <mergeCell ref="C31:D31"/>
    <mergeCell ref="C32:E32"/>
    <mergeCell ref="C30:E30"/>
    <mergeCell ref="C33:D33"/>
    <mergeCell ref="C34:D34"/>
    <mergeCell ref="B23:B24"/>
    <mergeCell ref="C23:C24"/>
    <mergeCell ref="D23:E23"/>
    <mergeCell ref="C27:E27"/>
    <mergeCell ref="B28:B29"/>
    <mergeCell ref="C28:C29"/>
    <mergeCell ref="D28:E28"/>
    <mergeCell ref="B25:B26"/>
    <mergeCell ref="C25:C26"/>
    <mergeCell ref="D25:E25"/>
    <mergeCell ref="C13:E13"/>
    <mergeCell ref="B14:B15"/>
    <mergeCell ref="C14:C15"/>
    <mergeCell ref="D14:E14"/>
    <mergeCell ref="B21:B22"/>
    <mergeCell ref="C21:C22"/>
    <mergeCell ref="D21:E21"/>
    <mergeCell ref="B17:B18"/>
    <mergeCell ref="C17:C18"/>
    <mergeCell ref="D17:E17"/>
    <mergeCell ref="B19:B20"/>
    <mergeCell ref="C19:C20"/>
    <mergeCell ref="D19:E19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workbookViewId="0">
      <selection activeCell="L1" sqref="L1"/>
    </sheetView>
  </sheetViews>
  <sheetFormatPr defaultRowHeight="15" x14ac:dyDescent="0.25"/>
  <cols>
    <col min="1" max="1" width="6.42578125" style="113" customWidth="1"/>
    <col min="2" max="2" width="39.140625" style="113" customWidth="1"/>
    <col min="3" max="3" width="12" style="113" customWidth="1"/>
    <col min="4" max="4" width="23.85546875" style="113" customWidth="1"/>
    <col min="5" max="5" width="11.140625" style="113" customWidth="1"/>
    <col min="6" max="7" width="9.140625" style="113"/>
    <col min="8" max="8" width="11" style="114" customWidth="1"/>
    <col min="9" max="16384" width="9.140625" style="113"/>
  </cols>
  <sheetData>
    <row r="1" spans="1:11" ht="64.5" customHeight="1" x14ac:dyDescent="0.25">
      <c r="A1" s="194" t="s">
        <v>345</v>
      </c>
      <c r="B1" s="194"/>
      <c r="C1" s="194"/>
      <c r="D1" s="194"/>
      <c r="E1" s="194"/>
      <c r="F1" s="194"/>
      <c r="G1" s="194"/>
      <c r="H1" s="194"/>
    </row>
    <row r="2" spans="1:11" s="3" customFormat="1" ht="24" customHeight="1" x14ac:dyDescent="0.25">
      <c r="B2" s="136" t="s">
        <v>344</v>
      </c>
      <c r="C2" s="136"/>
      <c r="D2" s="136"/>
      <c r="E2" s="136"/>
      <c r="F2" s="136"/>
      <c r="G2" s="136"/>
      <c r="H2" s="136"/>
      <c r="I2" s="1"/>
      <c r="J2" s="1"/>
      <c r="K2" s="1"/>
    </row>
    <row r="3" spans="1:11" s="6" customFormat="1" ht="24" customHeight="1" x14ac:dyDescent="0.25">
      <c r="A3" s="195" t="str">
        <f>'Свод '!C5</f>
        <v>Номер ИП: L_009-11-1-03.13-2555</v>
      </c>
      <c r="B3" s="195"/>
      <c r="C3" s="195"/>
      <c r="D3" s="195"/>
      <c r="E3" s="195"/>
      <c r="F3" s="9"/>
      <c r="G3" s="1"/>
      <c r="H3" s="1"/>
      <c r="I3" s="1"/>
      <c r="J3" s="1"/>
      <c r="K3" s="1"/>
    </row>
    <row r="4" spans="1:11" s="3" customFormat="1" ht="25.5" customHeight="1" x14ac:dyDescent="0.25">
      <c r="A4" s="195" t="s">
        <v>175</v>
      </c>
      <c r="B4" s="195"/>
      <c r="C4" s="195"/>
      <c r="D4" s="195"/>
      <c r="E4" s="5"/>
      <c r="F4" s="9"/>
      <c r="G4" s="1"/>
      <c r="H4" s="1"/>
      <c r="I4" s="1"/>
      <c r="J4" s="1"/>
      <c r="K4" s="4"/>
    </row>
    <row r="6" spans="1:11" ht="15.75" thickBot="1" x14ac:dyDescent="0.3"/>
    <row r="7" spans="1:11" ht="25.5" customHeight="1" x14ac:dyDescent="0.25">
      <c r="A7" s="115" t="s">
        <v>176</v>
      </c>
      <c r="B7" s="180" t="s">
        <v>177</v>
      </c>
      <c r="C7" s="180" t="s">
        <v>178</v>
      </c>
      <c r="D7" s="180" t="s">
        <v>179</v>
      </c>
      <c r="E7" s="180" t="s">
        <v>180</v>
      </c>
      <c r="F7" s="180" t="s">
        <v>181</v>
      </c>
      <c r="G7" s="180" t="s">
        <v>182</v>
      </c>
      <c r="H7" s="182" t="s">
        <v>183</v>
      </c>
    </row>
    <row r="8" spans="1:11" ht="16.5" customHeight="1" thickBot="1" x14ac:dyDescent="0.3">
      <c r="A8" s="116" t="s">
        <v>184</v>
      </c>
      <c r="B8" s="181"/>
      <c r="C8" s="181"/>
      <c r="D8" s="181"/>
      <c r="E8" s="181"/>
      <c r="F8" s="181"/>
      <c r="G8" s="181"/>
      <c r="H8" s="183"/>
    </row>
    <row r="9" spans="1:11" ht="15.75" thickBot="1" x14ac:dyDescent="0.3">
      <c r="A9" s="177" t="s">
        <v>185</v>
      </c>
      <c r="B9" s="178"/>
      <c r="C9" s="178"/>
      <c r="D9" s="178"/>
      <c r="E9" s="178"/>
      <c r="F9" s="178"/>
      <c r="G9" s="178"/>
      <c r="H9" s="179"/>
    </row>
    <row r="10" spans="1:11" x14ac:dyDescent="0.25">
      <c r="A10" s="180">
        <v>1</v>
      </c>
      <c r="B10" s="180" t="s">
        <v>186</v>
      </c>
      <c r="C10" s="180" t="s">
        <v>187</v>
      </c>
      <c r="D10" s="115" t="s">
        <v>188</v>
      </c>
      <c r="E10" s="180">
        <v>1.25</v>
      </c>
      <c r="F10" s="180">
        <v>350</v>
      </c>
      <c r="G10" s="180">
        <f>22*0.05</f>
        <v>1.1000000000000001</v>
      </c>
      <c r="H10" s="182">
        <f>E10*F10*G10</f>
        <v>481.25000000000006</v>
      </c>
    </row>
    <row r="11" spans="1:11" x14ac:dyDescent="0.25">
      <c r="A11" s="192"/>
      <c r="B11" s="192"/>
      <c r="C11" s="192"/>
      <c r="D11" s="116" t="s">
        <v>189</v>
      </c>
      <c r="E11" s="192"/>
      <c r="F11" s="192"/>
      <c r="G11" s="192"/>
      <c r="H11" s="193"/>
    </row>
    <row r="12" spans="1:11" ht="15.75" thickBot="1" x14ac:dyDescent="0.3">
      <c r="A12" s="181"/>
      <c r="B12" s="181"/>
      <c r="C12" s="181"/>
      <c r="D12" s="117"/>
      <c r="E12" s="181"/>
      <c r="F12" s="181"/>
      <c r="G12" s="181"/>
      <c r="H12" s="183"/>
    </row>
    <row r="13" spans="1:11" s="119" customFormat="1" thickBot="1" x14ac:dyDescent="0.25">
      <c r="A13" s="177" t="s">
        <v>190</v>
      </c>
      <c r="B13" s="178"/>
      <c r="C13" s="178"/>
      <c r="D13" s="178"/>
      <c r="E13" s="178"/>
      <c r="F13" s="178"/>
      <c r="G13" s="179"/>
      <c r="H13" s="118">
        <f>H10</f>
        <v>481.25000000000006</v>
      </c>
    </row>
    <row r="14" spans="1:11" ht="15.75" thickBot="1" x14ac:dyDescent="0.3">
      <c r="A14" s="177" t="s">
        <v>191</v>
      </c>
      <c r="B14" s="178"/>
      <c r="C14" s="178"/>
      <c r="D14" s="178"/>
      <c r="E14" s="178"/>
      <c r="F14" s="178"/>
      <c r="G14" s="178"/>
      <c r="H14" s="179"/>
    </row>
    <row r="15" spans="1:11" x14ac:dyDescent="0.25">
      <c r="A15" s="180">
        <v>2</v>
      </c>
      <c r="B15" s="180" t="s">
        <v>192</v>
      </c>
      <c r="C15" s="180" t="s">
        <v>193</v>
      </c>
      <c r="D15" s="115" t="s">
        <v>194</v>
      </c>
      <c r="E15" s="180">
        <v>1.1000000000000001</v>
      </c>
      <c r="F15" s="180">
        <v>27</v>
      </c>
      <c r="G15" s="180">
        <v>1</v>
      </c>
      <c r="H15" s="182">
        <f>E15*F15*G15</f>
        <v>29.700000000000003</v>
      </c>
    </row>
    <row r="16" spans="1:11" ht="37.5" customHeight="1" thickBot="1" x14ac:dyDescent="0.3">
      <c r="A16" s="181"/>
      <c r="B16" s="181"/>
      <c r="C16" s="181"/>
      <c r="D16" s="116" t="s">
        <v>195</v>
      </c>
      <c r="E16" s="181"/>
      <c r="F16" s="181"/>
      <c r="G16" s="181"/>
      <c r="H16" s="183"/>
    </row>
    <row r="17" spans="1:8" ht="75.75" thickBot="1" x14ac:dyDescent="0.3">
      <c r="A17" s="115">
        <v>3</v>
      </c>
      <c r="B17" s="115" t="s">
        <v>196</v>
      </c>
      <c r="C17" s="115" t="s">
        <v>193</v>
      </c>
      <c r="D17" s="115" t="s">
        <v>197</v>
      </c>
      <c r="E17" s="115"/>
      <c r="F17" s="115">
        <v>20.3</v>
      </c>
      <c r="G17" s="115">
        <v>1</v>
      </c>
      <c r="H17" s="120">
        <f>F17*G17</f>
        <v>20.3</v>
      </c>
    </row>
    <row r="18" spans="1:8" ht="60.75" thickBot="1" x14ac:dyDescent="0.3">
      <c r="A18" s="115">
        <v>4</v>
      </c>
      <c r="B18" s="115" t="s">
        <v>198</v>
      </c>
      <c r="C18" s="115" t="s">
        <v>193</v>
      </c>
      <c r="D18" s="115" t="s">
        <v>197</v>
      </c>
      <c r="E18" s="115"/>
      <c r="F18" s="115">
        <v>20.3</v>
      </c>
      <c r="G18" s="115">
        <v>1</v>
      </c>
      <c r="H18" s="120">
        <f>F18*G18</f>
        <v>20.3</v>
      </c>
    </row>
    <row r="19" spans="1:8" ht="45.75" thickBot="1" x14ac:dyDescent="0.3">
      <c r="A19" s="115">
        <v>5</v>
      </c>
      <c r="B19" s="115" t="s">
        <v>199</v>
      </c>
      <c r="C19" s="115" t="s">
        <v>200</v>
      </c>
      <c r="D19" s="115" t="s">
        <v>201</v>
      </c>
      <c r="E19" s="115"/>
      <c r="F19" s="115">
        <v>7.3</v>
      </c>
      <c r="G19" s="115">
        <v>1</v>
      </c>
      <c r="H19" s="120">
        <f>F19*G19</f>
        <v>7.3</v>
      </c>
    </row>
    <row r="20" spans="1:8" ht="23.25" customHeight="1" x14ac:dyDescent="0.25">
      <c r="A20" s="180">
        <v>6</v>
      </c>
      <c r="B20" s="180" t="s">
        <v>202</v>
      </c>
      <c r="C20" s="180" t="s">
        <v>200</v>
      </c>
      <c r="D20" s="115" t="s">
        <v>201</v>
      </c>
      <c r="E20" s="180">
        <v>0.4</v>
      </c>
      <c r="F20" s="180">
        <v>11.7</v>
      </c>
      <c r="G20" s="180">
        <v>1</v>
      </c>
      <c r="H20" s="182">
        <f>E20*F20*G20</f>
        <v>4.68</v>
      </c>
    </row>
    <row r="21" spans="1:8" ht="30" customHeight="1" thickBot="1" x14ac:dyDescent="0.3">
      <c r="A21" s="181"/>
      <c r="B21" s="181"/>
      <c r="C21" s="181"/>
      <c r="D21" s="116" t="s">
        <v>203</v>
      </c>
      <c r="E21" s="181"/>
      <c r="F21" s="181"/>
      <c r="G21" s="181"/>
      <c r="H21" s="183"/>
    </row>
    <row r="22" spans="1:8" x14ac:dyDescent="0.25">
      <c r="A22" s="180">
        <v>7</v>
      </c>
      <c r="B22" s="180" t="s">
        <v>204</v>
      </c>
      <c r="C22" s="180" t="s">
        <v>118</v>
      </c>
      <c r="D22" s="115" t="s">
        <v>205</v>
      </c>
      <c r="E22" s="180">
        <v>0.9</v>
      </c>
      <c r="F22" s="180">
        <v>11.7</v>
      </c>
      <c r="G22" s="180">
        <v>1</v>
      </c>
      <c r="H22" s="182">
        <f>E22*F22*G22</f>
        <v>10.53</v>
      </c>
    </row>
    <row r="23" spans="1:8" ht="34.5" customHeight="1" thickBot="1" x14ac:dyDescent="0.3">
      <c r="A23" s="181"/>
      <c r="B23" s="181"/>
      <c r="C23" s="181"/>
      <c r="D23" s="116" t="s">
        <v>206</v>
      </c>
      <c r="E23" s="181"/>
      <c r="F23" s="181"/>
      <c r="G23" s="181"/>
      <c r="H23" s="183"/>
    </row>
    <row r="24" spans="1:8" ht="24.75" customHeight="1" x14ac:dyDescent="0.25">
      <c r="A24" s="180">
        <v>8</v>
      </c>
      <c r="B24" s="180" t="s">
        <v>207</v>
      </c>
      <c r="C24" s="180" t="s">
        <v>118</v>
      </c>
      <c r="D24" s="115" t="s">
        <v>208</v>
      </c>
      <c r="E24" s="180">
        <v>0.5</v>
      </c>
      <c r="F24" s="180">
        <v>7.6</v>
      </c>
      <c r="G24" s="180">
        <v>1</v>
      </c>
      <c r="H24" s="182">
        <f>E24*F24*G24</f>
        <v>3.8</v>
      </c>
    </row>
    <row r="25" spans="1:8" ht="51.75" customHeight="1" thickBot="1" x14ac:dyDescent="0.3">
      <c r="A25" s="181"/>
      <c r="B25" s="181"/>
      <c r="C25" s="181"/>
      <c r="D25" s="116" t="s">
        <v>209</v>
      </c>
      <c r="E25" s="181"/>
      <c r="F25" s="181"/>
      <c r="G25" s="181"/>
      <c r="H25" s="183"/>
    </row>
    <row r="26" spans="1:8" ht="45.75" thickBot="1" x14ac:dyDescent="0.3">
      <c r="A26" s="115">
        <v>9</v>
      </c>
      <c r="B26" s="115" t="s">
        <v>210</v>
      </c>
      <c r="C26" s="115" t="s">
        <v>118</v>
      </c>
      <c r="D26" s="115" t="s">
        <v>211</v>
      </c>
      <c r="E26" s="115"/>
      <c r="F26" s="115">
        <v>37.700000000000003</v>
      </c>
      <c r="G26" s="115">
        <v>1</v>
      </c>
      <c r="H26" s="120">
        <f>F26*G26</f>
        <v>37.700000000000003</v>
      </c>
    </row>
    <row r="27" spans="1:8" x14ac:dyDescent="0.25">
      <c r="A27" s="180">
        <v>10</v>
      </c>
      <c r="B27" s="180" t="s">
        <v>212</v>
      </c>
      <c r="C27" s="180" t="s">
        <v>118</v>
      </c>
      <c r="D27" s="115" t="s">
        <v>211</v>
      </c>
      <c r="E27" s="180">
        <v>0.9</v>
      </c>
      <c r="F27" s="180">
        <v>37.700000000000003</v>
      </c>
      <c r="G27" s="180">
        <v>1</v>
      </c>
      <c r="H27" s="182">
        <f>E27*F27*G27</f>
        <v>33.930000000000007</v>
      </c>
    </row>
    <row r="28" spans="1:8" ht="36.75" customHeight="1" thickBot="1" x14ac:dyDescent="0.3">
      <c r="A28" s="181"/>
      <c r="B28" s="181"/>
      <c r="C28" s="181"/>
      <c r="D28" s="121" t="s">
        <v>213</v>
      </c>
      <c r="E28" s="181"/>
      <c r="F28" s="181"/>
      <c r="G28" s="181"/>
      <c r="H28" s="183"/>
    </row>
    <row r="29" spans="1:8" ht="28.5" customHeight="1" x14ac:dyDescent="0.25">
      <c r="A29" s="180">
        <v>11</v>
      </c>
      <c r="B29" s="180" t="s">
        <v>214</v>
      </c>
      <c r="C29" s="180" t="s">
        <v>118</v>
      </c>
      <c r="D29" s="115" t="s">
        <v>205</v>
      </c>
      <c r="E29" s="180">
        <v>1.2</v>
      </c>
      <c r="F29" s="180">
        <v>6.9</v>
      </c>
      <c r="G29" s="180">
        <v>1</v>
      </c>
      <c r="H29" s="182">
        <f>E29*F29*G29</f>
        <v>8.2799999999999994</v>
      </c>
    </row>
    <row r="30" spans="1:8" ht="24.75" customHeight="1" thickBot="1" x14ac:dyDescent="0.3">
      <c r="A30" s="181"/>
      <c r="B30" s="181"/>
      <c r="C30" s="181"/>
      <c r="D30" s="116" t="s">
        <v>215</v>
      </c>
      <c r="E30" s="181"/>
      <c r="F30" s="181"/>
      <c r="G30" s="181"/>
      <c r="H30" s="183"/>
    </row>
    <row r="31" spans="1:8" ht="30" customHeight="1" thickBot="1" x14ac:dyDescent="0.3">
      <c r="A31" s="115">
        <v>12</v>
      </c>
      <c r="B31" s="115" t="s">
        <v>216</v>
      </c>
      <c r="C31" s="115" t="s">
        <v>217</v>
      </c>
      <c r="D31" s="115" t="s">
        <v>218</v>
      </c>
      <c r="E31" s="115"/>
      <c r="F31" s="115">
        <v>535</v>
      </c>
      <c r="G31" s="115">
        <v>0.1</v>
      </c>
      <c r="H31" s="122">
        <f>F31*G31</f>
        <v>53.5</v>
      </c>
    </row>
    <row r="32" spans="1:8" ht="36" customHeight="1" thickBot="1" x14ac:dyDescent="0.3">
      <c r="A32" s="115">
        <v>13</v>
      </c>
      <c r="B32" s="115" t="s">
        <v>219</v>
      </c>
      <c r="C32" s="115" t="s">
        <v>220</v>
      </c>
      <c r="D32" s="115" t="s">
        <v>221</v>
      </c>
      <c r="E32" s="115"/>
      <c r="F32" s="115">
        <v>49.2</v>
      </c>
      <c r="G32" s="115">
        <v>0.3</v>
      </c>
      <c r="H32" s="122">
        <f>F32*G32</f>
        <v>14.76</v>
      </c>
    </row>
    <row r="33" spans="1:8" x14ac:dyDescent="0.25">
      <c r="A33" s="180">
        <v>14</v>
      </c>
      <c r="B33" s="180" t="s">
        <v>222</v>
      </c>
      <c r="C33" s="180"/>
      <c r="D33" s="115" t="s">
        <v>223</v>
      </c>
      <c r="E33" s="180">
        <v>1.3</v>
      </c>
      <c r="F33" s="190">
        <f>SUM(H15:H32)</f>
        <v>244.78</v>
      </c>
      <c r="G33" s="180"/>
      <c r="H33" s="182">
        <f>F33*0.3</f>
        <v>73.433999999999997</v>
      </c>
    </row>
    <row r="34" spans="1:8" ht="27.75" customHeight="1" thickBot="1" x14ac:dyDescent="0.3">
      <c r="A34" s="181"/>
      <c r="B34" s="181"/>
      <c r="C34" s="181"/>
      <c r="D34" s="116" t="s">
        <v>224</v>
      </c>
      <c r="E34" s="181"/>
      <c r="F34" s="191"/>
      <c r="G34" s="181"/>
      <c r="H34" s="183"/>
    </row>
    <row r="35" spans="1:8" ht="15.75" thickBot="1" x14ac:dyDescent="0.3">
      <c r="A35" s="187" t="s">
        <v>225</v>
      </c>
      <c r="B35" s="188"/>
      <c r="C35" s="188"/>
      <c r="D35" s="188"/>
      <c r="E35" s="188"/>
      <c r="F35" s="188"/>
      <c r="G35" s="189"/>
      <c r="H35" s="118">
        <f>SUM(H15:H34)</f>
        <v>318.214</v>
      </c>
    </row>
    <row r="36" spans="1:8" ht="90.75" thickBot="1" x14ac:dyDescent="0.3">
      <c r="A36" s="115">
        <v>15</v>
      </c>
      <c r="B36" s="115" t="s">
        <v>226</v>
      </c>
      <c r="C36" s="115" t="s">
        <v>227</v>
      </c>
      <c r="D36" s="115" t="s">
        <v>228</v>
      </c>
      <c r="E36" s="115">
        <v>8.7499999999999994E-2</v>
      </c>
      <c r="F36" s="115"/>
      <c r="G36" s="122">
        <f>H35</f>
        <v>318.214</v>
      </c>
      <c r="H36" s="120">
        <f>E36*G36</f>
        <v>27.843724999999999</v>
      </c>
    </row>
    <row r="37" spans="1:8" ht="90.75" thickBot="1" x14ac:dyDescent="0.3">
      <c r="A37" s="115">
        <v>16</v>
      </c>
      <c r="B37" s="115" t="s">
        <v>229</v>
      </c>
      <c r="C37" s="115" t="s">
        <v>227</v>
      </c>
      <c r="D37" s="115" t="s">
        <v>230</v>
      </c>
      <c r="E37" s="115">
        <v>0.14000000000000001</v>
      </c>
      <c r="F37" s="115"/>
      <c r="G37" s="122">
        <f>H35</f>
        <v>318.214</v>
      </c>
      <c r="H37" s="120">
        <f>G37*E37</f>
        <v>44.549960000000006</v>
      </c>
    </row>
    <row r="38" spans="1:8" ht="20.25" customHeight="1" x14ac:dyDescent="0.25">
      <c r="A38" s="180">
        <v>17</v>
      </c>
      <c r="B38" s="180" t="s">
        <v>231</v>
      </c>
      <c r="C38" s="180" t="s">
        <v>232</v>
      </c>
      <c r="D38" s="180" t="s">
        <v>233</v>
      </c>
      <c r="E38" s="180">
        <v>0.06</v>
      </c>
      <c r="F38" s="180"/>
      <c r="G38" s="182">
        <f>H35</f>
        <v>318.214</v>
      </c>
      <c r="H38" s="182">
        <f>E38*G38</f>
        <v>19.092839999999999</v>
      </c>
    </row>
    <row r="39" spans="1:8" ht="38.25" customHeight="1" thickBot="1" x14ac:dyDescent="0.3">
      <c r="A39" s="181"/>
      <c r="B39" s="181"/>
      <c r="C39" s="181"/>
      <c r="D39" s="181"/>
      <c r="E39" s="181"/>
      <c r="F39" s="181"/>
      <c r="G39" s="181"/>
      <c r="H39" s="183"/>
    </row>
    <row r="40" spans="1:8" ht="15.75" thickBot="1" x14ac:dyDescent="0.3">
      <c r="A40" s="177" t="s">
        <v>234</v>
      </c>
      <c r="B40" s="178"/>
      <c r="C40" s="178"/>
      <c r="D40" s="178"/>
      <c r="E40" s="178"/>
      <c r="F40" s="178"/>
      <c r="G40" s="179"/>
      <c r="H40" s="118">
        <f>H35+H36+H37+H38</f>
        <v>409.70052500000003</v>
      </c>
    </row>
    <row r="41" spans="1:8" ht="15.75" thickBot="1" x14ac:dyDescent="0.3">
      <c r="A41" s="177" t="s">
        <v>235</v>
      </c>
      <c r="B41" s="178"/>
      <c r="C41" s="178"/>
      <c r="D41" s="178"/>
      <c r="E41" s="178"/>
      <c r="F41" s="178"/>
      <c r="G41" s="178"/>
      <c r="H41" s="179"/>
    </row>
    <row r="42" spans="1:8" ht="15.75" thickBot="1" x14ac:dyDescent="0.3">
      <c r="A42" s="184" t="s">
        <v>236</v>
      </c>
      <c r="B42" s="185"/>
      <c r="C42" s="185"/>
      <c r="D42" s="185"/>
      <c r="E42" s="185"/>
      <c r="F42" s="185"/>
      <c r="G42" s="185"/>
      <c r="H42" s="186"/>
    </row>
    <row r="43" spans="1:8" ht="39.75" customHeight="1" thickBot="1" x14ac:dyDescent="0.3">
      <c r="A43" s="115">
        <v>18</v>
      </c>
      <c r="B43" s="115" t="s">
        <v>237</v>
      </c>
      <c r="C43" s="115" t="s">
        <v>122</v>
      </c>
      <c r="D43" s="115" t="s">
        <v>238</v>
      </c>
      <c r="E43" s="115"/>
      <c r="F43" s="115">
        <v>2</v>
      </c>
      <c r="G43" s="115">
        <v>1</v>
      </c>
      <c r="H43" s="120">
        <f t="shared" ref="H43:H51" si="0">F43*G43</f>
        <v>2</v>
      </c>
    </row>
    <row r="44" spans="1:8" ht="56.25" customHeight="1" thickBot="1" x14ac:dyDescent="0.3">
      <c r="A44" s="115">
        <v>19</v>
      </c>
      <c r="B44" s="115" t="s">
        <v>239</v>
      </c>
      <c r="C44" s="115" t="s">
        <v>122</v>
      </c>
      <c r="D44" s="115" t="s">
        <v>240</v>
      </c>
      <c r="E44" s="115"/>
      <c r="F44" s="115">
        <v>7.8</v>
      </c>
      <c r="G44" s="115">
        <v>1</v>
      </c>
      <c r="H44" s="120">
        <f t="shared" si="0"/>
        <v>7.8</v>
      </c>
    </row>
    <row r="45" spans="1:8" ht="51.75" customHeight="1" thickBot="1" x14ac:dyDescent="0.3">
      <c r="A45" s="115">
        <v>20</v>
      </c>
      <c r="B45" s="115" t="s">
        <v>241</v>
      </c>
      <c r="C45" s="115" t="s">
        <v>122</v>
      </c>
      <c r="D45" s="115" t="s">
        <v>242</v>
      </c>
      <c r="E45" s="115"/>
      <c r="F45" s="115">
        <v>23</v>
      </c>
      <c r="G45" s="115">
        <v>1</v>
      </c>
      <c r="H45" s="120">
        <f t="shared" si="0"/>
        <v>23</v>
      </c>
    </row>
    <row r="46" spans="1:8" ht="36.75" customHeight="1" thickBot="1" x14ac:dyDescent="0.3">
      <c r="A46" s="115">
        <v>21</v>
      </c>
      <c r="B46" s="115" t="s">
        <v>243</v>
      </c>
      <c r="C46" s="115" t="s">
        <v>122</v>
      </c>
      <c r="D46" s="115" t="s">
        <v>244</v>
      </c>
      <c r="E46" s="115"/>
      <c r="F46" s="115">
        <v>19.7</v>
      </c>
      <c r="G46" s="115">
        <v>1</v>
      </c>
      <c r="H46" s="120">
        <f t="shared" si="0"/>
        <v>19.7</v>
      </c>
    </row>
    <row r="47" spans="1:8" ht="60.75" thickBot="1" x14ac:dyDescent="0.3">
      <c r="A47" s="115">
        <v>22</v>
      </c>
      <c r="B47" s="115" t="s">
        <v>245</v>
      </c>
      <c r="C47" s="115" t="s">
        <v>122</v>
      </c>
      <c r="D47" s="115" t="s">
        <v>246</v>
      </c>
      <c r="E47" s="115"/>
      <c r="F47" s="115">
        <v>95.8</v>
      </c>
      <c r="G47" s="115">
        <v>1</v>
      </c>
      <c r="H47" s="120">
        <f t="shared" si="0"/>
        <v>95.8</v>
      </c>
    </row>
    <row r="48" spans="1:8" ht="60.75" thickBot="1" x14ac:dyDescent="0.3">
      <c r="A48" s="115">
        <v>23</v>
      </c>
      <c r="B48" s="115" t="s">
        <v>247</v>
      </c>
      <c r="C48" s="115" t="s">
        <v>122</v>
      </c>
      <c r="D48" s="115" t="s">
        <v>248</v>
      </c>
      <c r="E48" s="115"/>
      <c r="F48" s="115">
        <v>52.3</v>
      </c>
      <c r="G48" s="115">
        <v>1</v>
      </c>
      <c r="H48" s="120">
        <f t="shared" si="0"/>
        <v>52.3</v>
      </c>
    </row>
    <row r="49" spans="1:8" ht="45.75" thickBot="1" x14ac:dyDescent="0.3">
      <c r="A49" s="123">
        <v>24</v>
      </c>
      <c r="B49" s="123" t="s">
        <v>249</v>
      </c>
      <c r="C49" s="123" t="s">
        <v>122</v>
      </c>
      <c r="D49" s="123" t="s">
        <v>248</v>
      </c>
      <c r="E49" s="123"/>
      <c r="F49" s="123">
        <v>52.3</v>
      </c>
      <c r="G49" s="123">
        <v>1</v>
      </c>
      <c r="H49" s="120">
        <f t="shared" si="0"/>
        <v>52.3</v>
      </c>
    </row>
    <row r="50" spans="1:8" ht="45.75" thickBot="1" x14ac:dyDescent="0.3">
      <c r="A50" s="116">
        <v>25</v>
      </c>
      <c r="B50" s="115" t="s">
        <v>250</v>
      </c>
      <c r="C50" s="115" t="s">
        <v>122</v>
      </c>
      <c r="D50" s="115" t="s">
        <v>248</v>
      </c>
      <c r="E50" s="115"/>
      <c r="F50" s="115">
        <v>52.3</v>
      </c>
      <c r="G50" s="116">
        <v>1</v>
      </c>
      <c r="H50" s="120">
        <f t="shared" si="0"/>
        <v>52.3</v>
      </c>
    </row>
    <row r="51" spans="1:8" ht="30.75" thickBot="1" x14ac:dyDescent="0.3">
      <c r="A51" s="115">
        <v>26</v>
      </c>
      <c r="B51" s="115" t="s">
        <v>251</v>
      </c>
      <c r="C51" s="115" t="s">
        <v>122</v>
      </c>
      <c r="D51" s="115" t="s">
        <v>252</v>
      </c>
      <c r="E51" s="115"/>
      <c r="F51" s="115">
        <v>148</v>
      </c>
      <c r="G51" s="115">
        <v>1</v>
      </c>
      <c r="H51" s="120">
        <f t="shared" si="0"/>
        <v>148</v>
      </c>
    </row>
    <row r="52" spans="1:8" ht="15.75" thickBot="1" x14ac:dyDescent="0.3">
      <c r="A52" s="177" t="s">
        <v>225</v>
      </c>
      <c r="B52" s="178"/>
      <c r="C52" s="178"/>
      <c r="D52" s="178"/>
      <c r="E52" s="178"/>
      <c r="F52" s="178"/>
      <c r="G52" s="179"/>
      <c r="H52" s="118">
        <f>SUM(H43:H51)</f>
        <v>453.20000000000005</v>
      </c>
    </row>
    <row r="53" spans="1:8" ht="15.75" thickBot="1" x14ac:dyDescent="0.3">
      <c r="A53" s="184" t="s">
        <v>253</v>
      </c>
      <c r="B53" s="185"/>
      <c r="C53" s="185"/>
      <c r="D53" s="185"/>
      <c r="E53" s="185"/>
      <c r="F53" s="185"/>
      <c r="G53" s="185"/>
      <c r="H53" s="186"/>
    </row>
    <row r="54" spans="1:8" ht="30.75" thickBot="1" x14ac:dyDescent="0.3">
      <c r="A54" s="115">
        <v>27</v>
      </c>
      <c r="B54" s="115" t="s">
        <v>254</v>
      </c>
      <c r="C54" s="115" t="s">
        <v>122</v>
      </c>
      <c r="D54" s="115" t="s">
        <v>255</v>
      </c>
      <c r="E54" s="115"/>
      <c r="F54" s="115">
        <v>7.1</v>
      </c>
      <c r="G54" s="115">
        <v>1</v>
      </c>
      <c r="H54" s="120">
        <f t="shared" ref="H54:H64" si="1">F54*G54</f>
        <v>7.1</v>
      </c>
    </row>
    <row r="55" spans="1:8" ht="30.75" thickBot="1" x14ac:dyDescent="0.3">
      <c r="A55" s="115">
        <v>28</v>
      </c>
      <c r="B55" s="115" t="s">
        <v>237</v>
      </c>
      <c r="C55" s="115" t="s">
        <v>122</v>
      </c>
      <c r="D55" s="115" t="s">
        <v>238</v>
      </c>
      <c r="E55" s="115"/>
      <c r="F55" s="115">
        <v>2</v>
      </c>
      <c r="G55" s="115">
        <v>1</v>
      </c>
      <c r="H55" s="120">
        <f t="shared" si="1"/>
        <v>2</v>
      </c>
    </row>
    <row r="56" spans="1:8" ht="15.75" thickBot="1" x14ac:dyDescent="0.3">
      <c r="A56" s="115">
        <v>29</v>
      </c>
      <c r="B56" s="115" t="s">
        <v>256</v>
      </c>
      <c r="C56" s="115" t="s">
        <v>122</v>
      </c>
      <c r="D56" s="115" t="s">
        <v>257</v>
      </c>
      <c r="E56" s="115"/>
      <c r="F56" s="115">
        <v>12.2</v>
      </c>
      <c r="G56" s="115">
        <v>1</v>
      </c>
      <c r="H56" s="120">
        <f t="shared" si="1"/>
        <v>12.2</v>
      </c>
    </row>
    <row r="57" spans="1:8" ht="15.75" thickBot="1" x14ac:dyDescent="0.3">
      <c r="A57" s="115">
        <v>30</v>
      </c>
      <c r="B57" s="115" t="s">
        <v>258</v>
      </c>
      <c r="C57" s="115" t="s">
        <v>122</v>
      </c>
      <c r="D57" s="115" t="s">
        <v>259</v>
      </c>
      <c r="E57" s="115"/>
      <c r="F57" s="115">
        <v>14.2</v>
      </c>
      <c r="G57" s="115">
        <v>1</v>
      </c>
      <c r="H57" s="120">
        <f t="shared" si="1"/>
        <v>14.2</v>
      </c>
    </row>
    <row r="58" spans="1:8" ht="15.75" thickBot="1" x14ac:dyDescent="0.3">
      <c r="A58" s="115">
        <v>31</v>
      </c>
      <c r="B58" s="115" t="s">
        <v>260</v>
      </c>
      <c r="C58" s="115" t="s">
        <v>122</v>
      </c>
      <c r="D58" s="115" t="s">
        <v>261</v>
      </c>
      <c r="E58" s="115"/>
      <c r="F58" s="115">
        <v>7.6</v>
      </c>
      <c r="G58" s="115">
        <v>1</v>
      </c>
      <c r="H58" s="120">
        <f t="shared" si="1"/>
        <v>7.6</v>
      </c>
    </row>
    <row r="59" spans="1:8" ht="30.75" thickBot="1" x14ac:dyDescent="0.3">
      <c r="A59" s="115">
        <v>32</v>
      </c>
      <c r="B59" s="115" t="s">
        <v>262</v>
      </c>
      <c r="C59" s="115" t="s">
        <v>122</v>
      </c>
      <c r="D59" s="115" t="s">
        <v>263</v>
      </c>
      <c r="E59" s="115"/>
      <c r="F59" s="115">
        <v>8.9</v>
      </c>
      <c r="G59" s="115">
        <v>1</v>
      </c>
      <c r="H59" s="120">
        <f t="shared" si="1"/>
        <v>8.9</v>
      </c>
    </row>
    <row r="60" spans="1:8" ht="30.75" thickBot="1" x14ac:dyDescent="0.3">
      <c r="A60" s="115">
        <v>33</v>
      </c>
      <c r="B60" s="115" t="s">
        <v>264</v>
      </c>
      <c r="C60" s="115" t="s">
        <v>122</v>
      </c>
      <c r="D60" s="115" t="s">
        <v>265</v>
      </c>
      <c r="E60" s="115"/>
      <c r="F60" s="115">
        <v>23.2</v>
      </c>
      <c r="G60" s="115">
        <v>1</v>
      </c>
      <c r="H60" s="120">
        <f t="shared" si="1"/>
        <v>23.2</v>
      </c>
    </row>
    <row r="61" spans="1:8" ht="30.75" thickBot="1" x14ac:dyDescent="0.3">
      <c r="A61" s="115">
        <v>34</v>
      </c>
      <c r="B61" s="115" t="s">
        <v>266</v>
      </c>
      <c r="C61" s="115" t="s">
        <v>122</v>
      </c>
      <c r="D61" s="115" t="s">
        <v>267</v>
      </c>
      <c r="E61" s="115"/>
      <c r="F61" s="115">
        <v>4.5</v>
      </c>
      <c r="G61" s="115">
        <v>1</v>
      </c>
      <c r="H61" s="120">
        <f t="shared" si="1"/>
        <v>4.5</v>
      </c>
    </row>
    <row r="62" spans="1:8" ht="15.75" thickBot="1" x14ac:dyDescent="0.3">
      <c r="A62" s="115">
        <v>35</v>
      </c>
      <c r="B62" s="115" t="s">
        <v>268</v>
      </c>
      <c r="C62" s="115" t="s">
        <v>122</v>
      </c>
      <c r="D62" s="115" t="s">
        <v>269</v>
      </c>
      <c r="E62" s="115"/>
      <c r="F62" s="115">
        <v>8</v>
      </c>
      <c r="G62" s="115">
        <v>1</v>
      </c>
      <c r="H62" s="120">
        <f t="shared" si="1"/>
        <v>8</v>
      </c>
    </row>
    <row r="63" spans="1:8" ht="15.75" thickBot="1" x14ac:dyDescent="0.3">
      <c r="A63" s="115">
        <v>36</v>
      </c>
      <c r="B63" s="115" t="s">
        <v>270</v>
      </c>
      <c r="C63" s="115" t="s">
        <v>122</v>
      </c>
      <c r="D63" s="115" t="s">
        <v>271</v>
      </c>
      <c r="E63" s="115"/>
      <c r="F63" s="115">
        <v>3.8</v>
      </c>
      <c r="G63" s="115">
        <v>1</v>
      </c>
      <c r="H63" s="120">
        <f t="shared" si="1"/>
        <v>3.8</v>
      </c>
    </row>
    <row r="64" spans="1:8" ht="15.75" thickBot="1" x14ac:dyDescent="0.3">
      <c r="A64" s="115">
        <v>37</v>
      </c>
      <c r="B64" s="115" t="s">
        <v>272</v>
      </c>
      <c r="C64" s="115" t="s">
        <v>122</v>
      </c>
      <c r="D64" s="115" t="s">
        <v>273</v>
      </c>
      <c r="E64" s="115"/>
      <c r="F64" s="115">
        <v>48.8</v>
      </c>
      <c r="G64" s="115">
        <v>1</v>
      </c>
      <c r="H64" s="120">
        <f t="shared" si="1"/>
        <v>48.8</v>
      </c>
    </row>
    <row r="65" spans="1:8" ht="15.75" thickBot="1" x14ac:dyDescent="0.3">
      <c r="A65" s="177" t="s">
        <v>225</v>
      </c>
      <c r="B65" s="178"/>
      <c r="C65" s="178"/>
      <c r="D65" s="178"/>
      <c r="E65" s="178"/>
      <c r="F65" s="178"/>
      <c r="G65" s="179"/>
      <c r="H65" s="118">
        <f>SUM(H54:H64)</f>
        <v>140.30000000000001</v>
      </c>
    </row>
    <row r="66" spans="1:8" ht="15.75" thickBot="1" x14ac:dyDescent="0.3">
      <c r="A66" s="184" t="s">
        <v>274</v>
      </c>
      <c r="B66" s="185"/>
      <c r="C66" s="185"/>
      <c r="D66" s="185"/>
      <c r="E66" s="185"/>
      <c r="F66" s="185"/>
      <c r="G66" s="185"/>
      <c r="H66" s="186"/>
    </row>
    <row r="67" spans="1:8" ht="30.75" thickBot="1" x14ac:dyDescent="0.3">
      <c r="A67" s="115">
        <v>38</v>
      </c>
      <c r="B67" s="115" t="s">
        <v>275</v>
      </c>
      <c r="C67" s="115" t="s">
        <v>118</v>
      </c>
      <c r="D67" s="115" t="s">
        <v>276</v>
      </c>
      <c r="E67" s="115"/>
      <c r="F67" s="115">
        <v>8.8000000000000007</v>
      </c>
      <c r="G67" s="115">
        <v>1</v>
      </c>
      <c r="H67" s="120">
        <v>9</v>
      </c>
    </row>
    <row r="68" spans="1:8" ht="30.75" thickBot="1" x14ac:dyDescent="0.3">
      <c r="A68" s="115">
        <v>39</v>
      </c>
      <c r="B68" s="115" t="s">
        <v>277</v>
      </c>
      <c r="C68" s="115" t="s">
        <v>118</v>
      </c>
      <c r="D68" s="115" t="s">
        <v>278</v>
      </c>
      <c r="E68" s="115"/>
      <c r="F68" s="115">
        <v>2.6</v>
      </c>
      <c r="G68" s="115">
        <v>1</v>
      </c>
      <c r="H68" s="120">
        <v>3</v>
      </c>
    </row>
    <row r="69" spans="1:8" ht="45.75" thickBot="1" x14ac:dyDescent="0.3">
      <c r="A69" s="115">
        <v>40</v>
      </c>
      <c r="B69" s="115" t="s">
        <v>279</v>
      </c>
      <c r="C69" s="115" t="s">
        <v>118</v>
      </c>
      <c r="D69" s="115" t="s">
        <v>280</v>
      </c>
      <c r="E69" s="115"/>
      <c r="F69" s="115">
        <v>4.0999999999999996</v>
      </c>
      <c r="G69" s="115">
        <v>1</v>
      </c>
      <c r="H69" s="120">
        <v>4</v>
      </c>
    </row>
    <row r="70" spans="1:8" ht="30.75" thickBot="1" x14ac:dyDescent="0.3">
      <c r="A70" s="115">
        <v>41</v>
      </c>
      <c r="B70" s="115" t="s">
        <v>281</v>
      </c>
      <c r="C70" s="115" t="s">
        <v>118</v>
      </c>
      <c r="D70" s="115" t="s">
        <v>282</v>
      </c>
      <c r="E70" s="115"/>
      <c r="F70" s="115">
        <v>6.1</v>
      </c>
      <c r="G70" s="115">
        <v>1</v>
      </c>
      <c r="H70" s="120">
        <v>6</v>
      </c>
    </row>
    <row r="71" spans="1:8" ht="45.75" thickBot="1" x14ac:dyDescent="0.3">
      <c r="A71" s="115">
        <v>42</v>
      </c>
      <c r="B71" s="115" t="s">
        <v>283</v>
      </c>
      <c r="C71" s="115" t="s">
        <v>118</v>
      </c>
      <c r="D71" s="115" t="s">
        <v>284</v>
      </c>
      <c r="E71" s="115"/>
      <c r="F71" s="115">
        <v>11.3</v>
      </c>
      <c r="G71" s="115">
        <v>1</v>
      </c>
      <c r="H71" s="120">
        <v>11</v>
      </c>
    </row>
    <row r="72" spans="1:8" ht="45.75" thickBot="1" x14ac:dyDescent="0.3">
      <c r="A72" s="115">
        <v>43</v>
      </c>
      <c r="B72" s="115" t="s">
        <v>285</v>
      </c>
      <c r="C72" s="115" t="s">
        <v>118</v>
      </c>
      <c r="D72" s="115" t="s">
        <v>286</v>
      </c>
      <c r="E72" s="115"/>
      <c r="F72" s="115">
        <v>2</v>
      </c>
      <c r="G72" s="115">
        <v>1</v>
      </c>
      <c r="H72" s="120">
        <v>2</v>
      </c>
    </row>
    <row r="73" spans="1:8" ht="30.75" thickBot="1" x14ac:dyDescent="0.3">
      <c r="A73" s="115">
        <v>44</v>
      </c>
      <c r="B73" s="115" t="s">
        <v>287</v>
      </c>
      <c r="C73" s="115" t="s">
        <v>118</v>
      </c>
      <c r="D73" s="115" t="s">
        <v>288</v>
      </c>
      <c r="E73" s="115"/>
      <c r="F73" s="115">
        <v>4.5</v>
      </c>
      <c r="G73" s="115">
        <v>1</v>
      </c>
      <c r="H73" s="120">
        <v>5</v>
      </c>
    </row>
    <row r="74" spans="1:8" ht="45.75" thickBot="1" x14ac:dyDescent="0.3">
      <c r="A74" s="115">
        <v>45</v>
      </c>
      <c r="B74" s="115" t="s">
        <v>289</v>
      </c>
      <c r="C74" s="115" t="s">
        <v>118</v>
      </c>
      <c r="D74" s="115" t="s">
        <v>290</v>
      </c>
      <c r="E74" s="115"/>
      <c r="F74" s="115">
        <v>19.7</v>
      </c>
      <c r="G74" s="115">
        <v>1</v>
      </c>
      <c r="H74" s="120">
        <v>20</v>
      </c>
    </row>
    <row r="75" spans="1:8" ht="45.75" thickBot="1" x14ac:dyDescent="0.3">
      <c r="A75" s="123">
        <v>46</v>
      </c>
      <c r="B75" s="123" t="s">
        <v>291</v>
      </c>
      <c r="C75" s="123" t="s">
        <v>118</v>
      </c>
      <c r="D75" s="123" t="s">
        <v>292</v>
      </c>
      <c r="E75" s="123"/>
      <c r="F75" s="123">
        <v>23.5</v>
      </c>
      <c r="G75" s="115">
        <v>1</v>
      </c>
      <c r="H75" s="124">
        <v>24</v>
      </c>
    </row>
    <row r="76" spans="1:8" ht="30.75" thickBot="1" x14ac:dyDescent="0.3">
      <c r="A76" s="115">
        <v>47</v>
      </c>
      <c r="B76" s="115" t="s">
        <v>293</v>
      </c>
      <c r="C76" s="115" t="s">
        <v>118</v>
      </c>
      <c r="D76" s="115" t="s">
        <v>294</v>
      </c>
      <c r="E76" s="115"/>
      <c r="F76" s="115">
        <v>9.6</v>
      </c>
      <c r="G76" s="115">
        <v>1</v>
      </c>
      <c r="H76" s="120">
        <v>10</v>
      </c>
    </row>
    <row r="77" spans="1:8" ht="15.75" thickBot="1" x14ac:dyDescent="0.3">
      <c r="A77" s="115">
        <v>48</v>
      </c>
      <c r="B77" s="115" t="s">
        <v>295</v>
      </c>
      <c r="C77" s="115" t="s">
        <v>118</v>
      </c>
      <c r="D77" s="115" t="s">
        <v>296</v>
      </c>
      <c r="E77" s="115"/>
      <c r="F77" s="115">
        <v>0.5</v>
      </c>
      <c r="G77" s="115">
        <v>1</v>
      </c>
      <c r="H77" s="120">
        <v>1</v>
      </c>
    </row>
    <row r="78" spans="1:8" ht="45.75" thickBot="1" x14ac:dyDescent="0.3">
      <c r="A78" s="115">
        <v>49</v>
      </c>
      <c r="B78" s="115" t="s">
        <v>297</v>
      </c>
      <c r="C78" s="115" t="s">
        <v>118</v>
      </c>
      <c r="D78" s="115" t="s">
        <v>298</v>
      </c>
      <c r="E78" s="115"/>
      <c r="F78" s="115">
        <v>14</v>
      </c>
      <c r="G78" s="115">
        <v>1</v>
      </c>
      <c r="H78" s="120">
        <v>14</v>
      </c>
    </row>
    <row r="79" spans="1:8" ht="45.75" thickBot="1" x14ac:dyDescent="0.3">
      <c r="A79" s="115">
        <v>50</v>
      </c>
      <c r="B79" s="115" t="s">
        <v>299</v>
      </c>
      <c r="C79" s="115" t="s">
        <v>118</v>
      </c>
      <c r="D79" s="115" t="s">
        <v>300</v>
      </c>
      <c r="E79" s="115"/>
      <c r="F79" s="115">
        <v>21.5</v>
      </c>
      <c r="G79" s="115">
        <v>1</v>
      </c>
      <c r="H79" s="120">
        <v>22</v>
      </c>
    </row>
    <row r="80" spans="1:8" ht="30.75" thickBot="1" x14ac:dyDescent="0.3">
      <c r="A80" s="115">
        <v>51</v>
      </c>
      <c r="B80" s="115" t="s">
        <v>301</v>
      </c>
      <c r="C80" s="115" t="s">
        <v>118</v>
      </c>
      <c r="D80" s="115" t="s">
        <v>302</v>
      </c>
      <c r="E80" s="115"/>
      <c r="F80" s="115">
        <v>3.1</v>
      </c>
      <c r="G80" s="115">
        <v>1</v>
      </c>
      <c r="H80" s="120">
        <v>3</v>
      </c>
    </row>
    <row r="81" spans="1:8" ht="30.75" thickBot="1" x14ac:dyDescent="0.3">
      <c r="A81" s="115">
        <v>52</v>
      </c>
      <c r="B81" s="115" t="s">
        <v>303</v>
      </c>
      <c r="C81" s="115" t="s">
        <v>118</v>
      </c>
      <c r="D81" s="115" t="s">
        <v>304</v>
      </c>
      <c r="E81" s="115"/>
      <c r="F81" s="115">
        <v>2.7</v>
      </c>
      <c r="G81" s="115">
        <v>1</v>
      </c>
      <c r="H81" s="120">
        <v>3</v>
      </c>
    </row>
    <row r="82" spans="1:8" ht="30.75" thickBot="1" x14ac:dyDescent="0.3">
      <c r="A82" s="115">
        <v>53</v>
      </c>
      <c r="B82" s="115" t="s">
        <v>305</v>
      </c>
      <c r="C82" s="115" t="s">
        <v>118</v>
      </c>
      <c r="D82" s="115" t="s">
        <v>306</v>
      </c>
      <c r="E82" s="115"/>
      <c r="F82" s="115">
        <v>8.6999999999999993</v>
      </c>
      <c r="G82" s="115">
        <v>1</v>
      </c>
      <c r="H82" s="120">
        <v>9</v>
      </c>
    </row>
    <row r="83" spans="1:8" ht="30.75" thickBot="1" x14ac:dyDescent="0.3">
      <c r="A83" s="115">
        <v>54</v>
      </c>
      <c r="B83" s="115" t="s">
        <v>307</v>
      </c>
      <c r="C83" s="115" t="s">
        <v>118</v>
      </c>
      <c r="D83" s="115" t="s">
        <v>308</v>
      </c>
      <c r="E83" s="115"/>
      <c r="F83" s="115">
        <v>12.2</v>
      </c>
      <c r="G83" s="115">
        <v>1</v>
      </c>
      <c r="H83" s="120">
        <v>12</v>
      </c>
    </row>
    <row r="84" spans="1:8" ht="30.75" thickBot="1" x14ac:dyDescent="0.3">
      <c r="A84" s="115">
        <v>55</v>
      </c>
      <c r="B84" s="115" t="s">
        <v>309</v>
      </c>
      <c r="C84" s="115" t="s">
        <v>118</v>
      </c>
      <c r="D84" s="115" t="s">
        <v>310</v>
      </c>
      <c r="E84" s="115"/>
      <c r="F84" s="115">
        <v>7.4</v>
      </c>
      <c r="G84" s="115">
        <v>1</v>
      </c>
      <c r="H84" s="120">
        <v>7</v>
      </c>
    </row>
    <row r="85" spans="1:8" ht="30.75" thickBot="1" x14ac:dyDescent="0.3">
      <c r="A85" s="115">
        <v>56</v>
      </c>
      <c r="B85" s="115" t="s">
        <v>311</v>
      </c>
      <c r="C85" s="115" t="s">
        <v>118</v>
      </c>
      <c r="D85" s="115" t="s">
        <v>312</v>
      </c>
      <c r="E85" s="115"/>
      <c r="F85" s="115">
        <v>7.1</v>
      </c>
      <c r="G85" s="115">
        <v>1</v>
      </c>
      <c r="H85" s="120">
        <v>7</v>
      </c>
    </row>
    <row r="86" spans="1:8" ht="30.75" thickBot="1" x14ac:dyDescent="0.3">
      <c r="A86" s="115">
        <v>57</v>
      </c>
      <c r="B86" s="115" t="s">
        <v>313</v>
      </c>
      <c r="C86" s="115" t="s">
        <v>118</v>
      </c>
      <c r="D86" s="115" t="s">
        <v>314</v>
      </c>
      <c r="E86" s="115"/>
      <c r="F86" s="115">
        <v>3.1</v>
      </c>
      <c r="G86" s="115">
        <v>1</v>
      </c>
      <c r="H86" s="120">
        <v>3</v>
      </c>
    </row>
    <row r="87" spans="1:8" ht="30.75" thickBot="1" x14ac:dyDescent="0.3">
      <c r="A87" s="115">
        <v>58</v>
      </c>
      <c r="B87" s="115" t="s">
        <v>315</v>
      </c>
      <c r="C87" s="115" t="s">
        <v>118</v>
      </c>
      <c r="D87" s="115" t="s">
        <v>316</v>
      </c>
      <c r="E87" s="115"/>
      <c r="F87" s="115">
        <v>8.1</v>
      </c>
      <c r="G87" s="115">
        <v>1</v>
      </c>
      <c r="H87" s="120">
        <v>8</v>
      </c>
    </row>
    <row r="88" spans="1:8" ht="15.75" thickBot="1" x14ac:dyDescent="0.3">
      <c r="A88" s="177" t="s">
        <v>225</v>
      </c>
      <c r="B88" s="178"/>
      <c r="C88" s="178"/>
      <c r="D88" s="178"/>
      <c r="E88" s="178"/>
      <c r="F88" s="178"/>
      <c r="G88" s="179"/>
      <c r="H88" s="118">
        <f>SUM(H67:H87)</f>
        <v>183</v>
      </c>
    </row>
    <row r="89" spans="1:8" ht="15.75" thickBot="1" x14ac:dyDescent="0.3">
      <c r="A89" s="177" t="s">
        <v>317</v>
      </c>
      <c r="B89" s="178"/>
      <c r="C89" s="178"/>
      <c r="D89" s="178"/>
      <c r="E89" s="178"/>
      <c r="F89" s="178"/>
      <c r="G89" s="179"/>
      <c r="H89" s="118">
        <f>H88+H65+H52</f>
        <v>776.5</v>
      </c>
    </row>
    <row r="90" spans="1:8" ht="15.75" thickBot="1" x14ac:dyDescent="0.3">
      <c r="A90" s="177" t="s">
        <v>318</v>
      </c>
      <c r="B90" s="178"/>
      <c r="C90" s="178"/>
      <c r="D90" s="178"/>
      <c r="E90" s="178"/>
      <c r="F90" s="178"/>
      <c r="G90" s="178"/>
      <c r="H90" s="179"/>
    </row>
    <row r="91" spans="1:8" ht="45.75" thickBot="1" x14ac:dyDescent="0.3">
      <c r="A91" s="115">
        <v>59</v>
      </c>
      <c r="B91" s="115" t="s">
        <v>319</v>
      </c>
      <c r="C91" s="115" t="s">
        <v>193</v>
      </c>
      <c r="D91" s="115" t="s">
        <v>194</v>
      </c>
      <c r="E91" s="115"/>
      <c r="F91" s="115">
        <v>18.5</v>
      </c>
      <c r="G91" s="115">
        <v>1</v>
      </c>
      <c r="H91" s="120">
        <f>F91*G91</f>
        <v>18.5</v>
      </c>
    </row>
    <row r="92" spans="1:8" ht="75.75" thickBot="1" x14ac:dyDescent="0.3">
      <c r="A92" s="115">
        <v>60</v>
      </c>
      <c r="B92" s="115" t="s">
        <v>196</v>
      </c>
      <c r="C92" s="115" t="s">
        <v>193</v>
      </c>
      <c r="D92" s="115" t="s">
        <v>197</v>
      </c>
      <c r="E92" s="115"/>
      <c r="F92" s="115">
        <v>2.1</v>
      </c>
      <c r="G92" s="115">
        <v>1</v>
      </c>
      <c r="H92" s="120">
        <f>F92*G92</f>
        <v>2.1</v>
      </c>
    </row>
    <row r="93" spans="1:8" ht="60.75" thickBot="1" x14ac:dyDescent="0.3">
      <c r="A93" s="115">
        <v>61</v>
      </c>
      <c r="B93" s="115" t="s">
        <v>320</v>
      </c>
      <c r="C93" s="115" t="s">
        <v>193</v>
      </c>
      <c r="D93" s="115" t="s">
        <v>197</v>
      </c>
      <c r="E93" s="115"/>
      <c r="F93" s="115">
        <v>2.1</v>
      </c>
      <c r="G93" s="115">
        <v>1</v>
      </c>
      <c r="H93" s="120">
        <f>F93*G93</f>
        <v>2.1</v>
      </c>
    </row>
    <row r="94" spans="1:8" ht="45.75" thickBot="1" x14ac:dyDescent="0.3">
      <c r="A94" s="115">
        <v>62</v>
      </c>
      <c r="B94" s="115" t="s">
        <v>321</v>
      </c>
      <c r="C94" s="115" t="s">
        <v>200</v>
      </c>
      <c r="D94" s="115" t="s">
        <v>201</v>
      </c>
      <c r="E94" s="115"/>
      <c r="F94" s="115">
        <v>7.5</v>
      </c>
      <c r="G94" s="115">
        <v>1</v>
      </c>
      <c r="H94" s="120">
        <f>F94*G94</f>
        <v>7.5</v>
      </c>
    </row>
    <row r="95" spans="1:8" x14ac:dyDescent="0.25">
      <c r="A95" s="180">
        <v>63</v>
      </c>
      <c r="B95" s="180" t="s">
        <v>322</v>
      </c>
      <c r="C95" s="180" t="s">
        <v>200</v>
      </c>
      <c r="D95" s="115" t="s">
        <v>201</v>
      </c>
      <c r="E95" s="180">
        <v>0.4</v>
      </c>
      <c r="F95" s="180">
        <v>7.5</v>
      </c>
      <c r="G95" s="180">
        <v>1</v>
      </c>
      <c r="H95" s="182">
        <f>F95*G95</f>
        <v>7.5</v>
      </c>
    </row>
    <row r="96" spans="1:8" ht="15.75" thickBot="1" x14ac:dyDescent="0.3">
      <c r="A96" s="181"/>
      <c r="B96" s="181"/>
      <c r="C96" s="181"/>
      <c r="D96" s="116" t="s">
        <v>203</v>
      </c>
      <c r="E96" s="181"/>
      <c r="F96" s="181"/>
      <c r="G96" s="181"/>
      <c r="H96" s="183"/>
    </row>
    <row r="97" spans="1:8" ht="15.75" thickBot="1" x14ac:dyDescent="0.3">
      <c r="A97" s="115">
        <v>64</v>
      </c>
      <c r="B97" s="115" t="s">
        <v>216</v>
      </c>
      <c r="C97" s="115" t="s">
        <v>217</v>
      </c>
      <c r="D97" s="115" t="s">
        <v>218</v>
      </c>
      <c r="E97" s="115"/>
      <c r="F97" s="115">
        <v>161</v>
      </c>
      <c r="G97" s="115">
        <v>1</v>
      </c>
      <c r="H97" s="120">
        <f>F97*G97</f>
        <v>161</v>
      </c>
    </row>
    <row r="98" spans="1:8" ht="30.75" thickBot="1" x14ac:dyDescent="0.3">
      <c r="A98" s="123">
        <v>65</v>
      </c>
      <c r="B98" s="115" t="s">
        <v>219</v>
      </c>
      <c r="C98" s="123" t="s">
        <v>220</v>
      </c>
      <c r="D98" s="123" t="s">
        <v>221</v>
      </c>
      <c r="E98" s="123"/>
      <c r="F98" s="123">
        <v>17.8</v>
      </c>
      <c r="G98" s="123">
        <v>0.3</v>
      </c>
      <c r="H98" s="120">
        <f>F98*G98</f>
        <v>5.34</v>
      </c>
    </row>
    <row r="99" spans="1:8" ht="45.75" thickBot="1" x14ac:dyDescent="0.3">
      <c r="A99" s="115">
        <v>66</v>
      </c>
      <c r="B99" s="116" t="s">
        <v>323</v>
      </c>
      <c r="C99" s="116" t="s">
        <v>227</v>
      </c>
      <c r="D99" s="116" t="s">
        <v>324</v>
      </c>
      <c r="E99" s="116"/>
      <c r="F99" s="116">
        <v>0.2</v>
      </c>
      <c r="G99" s="125">
        <f>H89</f>
        <v>776.5</v>
      </c>
      <c r="H99" s="120">
        <f>F99*G99</f>
        <v>155.30000000000001</v>
      </c>
    </row>
    <row r="100" spans="1:8" ht="90.75" thickBot="1" x14ac:dyDescent="0.3">
      <c r="A100" s="115">
        <v>67</v>
      </c>
      <c r="B100" s="115" t="s">
        <v>325</v>
      </c>
      <c r="C100" s="115" t="s">
        <v>107</v>
      </c>
      <c r="D100" s="115" t="s">
        <v>326</v>
      </c>
      <c r="E100" s="115">
        <v>0.18</v>
      </c>
      <c r="F100" s="115"/>
      <c r="G100" s="122">
        <f>SUM(H91:H99)</f>
        <v>359.34000000000003</v>
      </c>
      <c r="H100" s="120">
        <f>E100*G100</f>
        <v>64.681200000000004</v>
      </c>
    </row>
    <row r="101" spans="1:8" ht="15.75" thickBot="1" x14ac:dyDescent="0.3">
      <c r="A101" s="177" t="s">
        <v>327</v>
      </c>
      <c r="B101" s="178"/>
      <c r="C101" s="178"/>
      <c r="D101" s="178"/>
      <c r="E101" s="178"/>
      <c r="F101" s="178"/>
      <c r="G101" s="179"/>
      <c r="H101" s="118">
        <f>SUM(H91:H100)</f>
        <v>424.02120000000002</v>
      </c>
    </row>
    <row r="102" spans="1:8" ht="15.75" thickBot="1" x14ac:dyDescent="0.3">
      <c r="A102" s="177" t="s">
        <v>328</v>
      </c>
      <c r="B102" s="178"/>
      <c r="C102" s="178"/>
      <c r="D102" s="178"/>
      <c r="E102" s="178"/>
      <c r="F102" s="178"/>
      <c r="G102" s="179"/>
      <c r="H102" s="118">
        <f>H101+H89+H40+H13</f>
        <v>2091.4717250000003</v>
      </c>
    </row>
    <row r="103" spans="1:8" ht="75.75" thickBot="1" x14ac:dyDescent="0.3">
      <c r="A103" s="115">
        <v>68</v>
      </c>
      <c r="B103" s="115" t="s">
        <v>329</v>
      </c>
      <c r="C103" s="116" t="s">
        <v>227</v>
      </c>
      <c r="D103" s="115" t="s">
        <v>330</v>
      </c>
      <c r="E103" s="115">
        <v>52.94</v>
      </c>
      <c r="F103" s="115"/>
      <c r="G103" s="126">
        <f>H102</f>
        <v>2091.4717250000003</v>
      </c>
      <c r="H103" s="120">
        <f>G103*E103</f>
        <v>110722.51312150001</v>
      </c>
    </row>
    <row r="104" spans="1:8" ht="15.75" thickBot="1" x14ac:dyDescent="0.3">
      <c r="A104" s="177" t="s">
        <v>331</v>
      </c>
      <c r="B104" s="178"/>
      <c r="C104" s="178"/>
      <c r="D104" s="178"/>
      <c r="E104" s="178"/>
      <c r="F104" s="178"/>
      <c r="G104" s="179"/>
      <c r="H104" s="118">
        <f>H103</f>
        <v>110722.51312150001</v>
      </c>
    </row>
    <row r="105" spans="1:8" ht="15.75" thickBot="1" x14ac:dyDescent="0.3">
      <c r="A105" s="177" t="s">
        <v>332</v>
      </c>
      <c r="B105" s="178"/>
      <c r="C105" s="178"/>
      <c r="D105" s="178"/>
      <c r="E105" s="178"/>
      <c r="F105" s="178"/>
      <c r="G105" s="179"/>
      <c r="H105" s="118">
        <f>H104*0.2</f>
        <v>22144.502624300003</v>
      </c>
    </row>
    <row r="106" spans="1:8" ht="15.75" customHeight="1" thickBot="1" x14ac:dyDescent="0.3">
      <c r="A106" s="177" t="s">
        <v>331</v>
      </c>
      <c r="B106" s="178"/>
      <c r="C106" s="178"/>
      <c r="D106" s="178"/>
      <c r="E106" s="178"/>
      <c r="F106" s="178"/>
      <c r="G106" s="179"/>
      <c r="H106" s="127">
        <f>H104+H105</f>
        <v>132867.01574580002</v>
      </c>
    </row>
    <row r="107" spans="1:8" x14ac:dyDescent="0.25">
      <c r="A107" s="119"/>
      <c r="B107" s="119"/>
      <c r="C107" s="119"/>
      <c r="D107" s="119"/>
      <c r="E107" s="119"/>
      <c r="F107" s="119"/>
      <c r="G107" s="119"/>
      <c r="H107" s="128"/>
    </row>
  </sheetData>
  <mergeCells count="101">
    <mergeCell ref="A1:H1"/>
    <mergeCell ref="B2:H2"/>
    <mergeCell ref="A3:E3"/>
    <mergeCell ref="A4:D4"/>
    <mergeCell ref="B7:B8"/>
    <mergeCell ref="C7:C8"/>
    <mergeCell ref="D7:D8"/>
    <mergeCell ref="E7:E8"/>
    <mergeCell ref="F7:F8"/>
    <mergeCell ref="G7:G8"/>
    <mergeCell ref="H7:H8"/>
    <mergeCell ref="A9:H9"/>
    <mergeCell ref="A10:A12"/>
    <mergeCell ref="B10:B12"/>
    <mergeCell ref="C10:C12"/>
    <mergeCell ref="E10:E12"/>
    <mergeCell ref="F10:F12"/>
    <mergeCell ref="G10:G12"/>
    <mergeCell ref="H10:H12"/>
    <mergeCell ref="A13:G13"/>
    <mergeCell ref="A14:H14"/>
    <mergeCell ref="A15:A16"/>
    <mergeCell ref="B15:B16"/>
    <mergeCell ref="C15:C16"/>
    <mergeCell ref="E15:E16"/>
    <mergeCell ref="F15:F16"/>
    <mergeCell ref="G15:G16"/>
    <mergeCell ref="H15:H16"/>
    <mergeCell ref="H20:H21"/>
    <mergeCell ref="A22:A23"/>
    <mergeCell ref="B22:B23"/>
    <mergeCell ref="C22:C23"/>
    <mergeCell ref="E22:E23"/>
    <mergeCell ref="F22:F23"/>
    <mergeCell ref="G22:G23"/>
    <mergeCell ref="H22:H23"/>
    <mergeCell ref="A20:A21"/>
    <mergeCell ref="B20:B21"/>
    <mergeCell ref="C20:C21"/>
    <mergeCell ref="E20:E21"/>
    <mergeCell ref="F20:F21"/>
    <mergeCell ref="G20:G21"/>
    <mergeCell ref="H24:H25"/>
    <mergeCell ref="A27:A28"/>
    <mergeCell ref="B27:B28"/>
    <mergeCell ref="C27:C28"/>
    <mergeCell ref="E27:E28"/>
    <mergeCell ref="F27:F28"/>
    <mergeCell ref="G27:G28"/>
    <mergeCell ref="H27:H28"/>
    <mergeCell ref="A24:A25"/>
    <mergeCell ref="B24:B25"/>
    <mergeCell ref="C24:C25"/>
    <mergeCell ref="E24:E25"/>
    <mergeCell ref="F24:F25"/>
    <mergeCell ref="G24:G25"/>
    <mergeCell ref="H29:H30"/>
    <mergeCell ref="A33:A34"/>
    <mergeCell ref="B33:B34"/>
    <mergeCell ref="C33:C34"/>
    <mergeCell ref="E33:E34"/>
    <mergeCell ref="F33:F34"/>
    <mergeCell ref="G33:G34"/>
    <mergeCell ref="H33:H34"/>
    <mergeCell ref="A29:A30"/>
    <mergeCell ref="B29:B30"/>
    <mergeCell ref="C29:C30"/>
    <mergeCell ref="E29:E30"/>
    <mergeCell ref="F29:F30"/>
    <mergeCell ref="G29:G30"/>
    <mergeCell ref="H38:H39"/>
    <mergeCell ref="A40:G40"/>
    <mergeCell ref="A41:H41"/>
    <mergeCell ref="A42:H42"/>
    <mergeCell ref="A52:G52"/>
    <mergeCell ref="A53:H53"/>
    <mergeCell ref="A35:G35"/>
    <mergeCell ref="A38:A39"/>
    <mergeCell ref="B38:B39"/>
    <mergeCell ref="C38:C39"/>
    <mergeCell ref="D38:D39"/>
    <mergeCell ref="E38:E39"/>
    <mergeCell ref="F38:F39"/>
    <mergeCell ref="G38:G39"/>
    <mergeCell ref="A106:G106"/>
    <mergeCell ref="G95:G96"/>
    <mergeCell ref="H95:H96"/>
    <mergeCell ref="A101:G101"/>
    <mergeCell ref="A102:G102"/>
    <mergeCell ref="A104:G104"/>
    <mergeCell ref="A105:G105"/>
    <mergeCell ref="A65:G65"/>
    <mergeCell ref="A66:H66"/>
    <mergeCell ref="A88:G88"/>
    <mergeCell ref="A89:G89"/>
    <mergeCell ref="A90:H90"/>
    <mergeCell ref="A95:A96"/>
    <mergeCell ref="B95:B96"/>
    <mergeCell ref="C95:C96"/>
    <mergeCell ref="E95:E96"/>
    <mergeCell ref="F95:F9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Свод </vt:lpstr>
      <vt:lpstr>Предпроект </vt:lpstr>
      <vt:lpstr>Инженерно-геодезические</vt:lpstr>
      <vt:lpstr>Геология</vt:lpstr>
      <vt:lpstr>Проект </vt:lpstr>
      <vt:lpstr>Экология</vt:lpstr>
      <vt:lpstr>Геология!Заголовки_для_печати</vt:lpstr>
      <vt:lpstr>'Инженерно-геодезические'!Заголовки_для_печати</vt:lpstr>
      <vt:lpstr>Геология!Область_печати</vt:lpstr>
      <vt:lpstr>'Инженерно-геодезические'!Область_печати</vt:lpstr>
      <vt:lpstr>'Предпроект '!Область_печати</vt:lpstr>
      <vt:lpstr>'Проект '!Область_печати</vt:lpstr>
      <vt:lpstr>'Свод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Нивин Алексей Олегович</cp:lastModifiedBy>
  <cp:lastPrinted>2021-06-22T14:09:00Z</cp:lastPrinted>
  <dcterms:created xsi:type="dcterms:W3CDTF">2014-04-14T08:49:41Z</dcterms:created>
  <dcterms:modified xsi:type="dcterms:W3CDTF">2021-07-12T08:44:18Z</dcterms:modified>
</cp:coreProperties>
</file>